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CAA9F78-4A5C-4A47-831E-ABAEBD1B3E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AD67" i="1" l="1"/>
  <c r="AD85" i="1"/>
  <c r="N42" i="1"/>
  <c r="N39" i="1"/>
  <c r="N30" i="1"/>
  <c r="N24" i="1"/>
  <c r="N29" i="1"/>
  <c r="N28" i="1"/>
  <c r="N19" i="1"/>
  <c r="N6" i="1"/>
  <c r="N4" i="1"/>
  <c r="N43" i="1"/>
  <c r="N70" i="1"/>
  <c r="AD10" i="1"/>
  <c r="N69" i="1"/>
  <c r="N63" i="1"/>
  <c r="AD6" i="1"/>
  <c r="N68" i="1"/>
  <c r="N71" i="1"/>
  <c r="AD11" i="1"/>
  <c r="AD46" i="1"/>
  <c r="AD14" i="1"/>
  <c r="AD30" i="1"/>
  <c r="AD61" i="1"/>
  <c r="AD43" i="1"/>
  <c r="AD62" i="1"/>
  <c r="AD51" i="1"/>
  <c r="N62" i="1"/>
  <c r="N64" i="1"/>
  <c r="N58" i="1"/>
  <c r="N9" i="1"/>
  <c r="N16" i="1"/>
  <c r="N40" i="1"/>
  <c r="N45" i="1" s="1"/>
  <c r="N31" i="1"/>
  <c r="N44" i="1"/>
  <c r="M4" i="1"/>
  <c r="M6" i="1"/>
  <c r="M9" i="1"/>
  <c r="M16" i="1"/>
  <c r="M24" i="1"/>
  <c r="M25" i="1"/>
  <c r="M28" i="1"/>
  <c r="M30" i="1"/>
  <c r="J4" i="1"/>
  <c r="J6" i="1"/>
  <c r="J9" i="1"/>
  <c r="J16" i="1"/>
  <c r="J24" i="1"/>
  <c r="J27" i="1"/>
  <c r="J28" i="1"/>
  <c r="J30" i="1"/>
  <c r="M32" i="1"/>
  <c r="AC80" i="1"/>
  <c r="AC78" i="1"/>
  <c r="AB46" i="1"/>
  <c r="AC46" i="1"/>
  <c r="AC79" i="1"/>
  <c r="AC81" i="1"/>
  <c r="AC85" i="1"/>
  <c r="AC84" i="1"/>
  <c r="AC10" i="1"/>
  <c r="AC83" i="1"/>
  <c r="AB30" i="1"/>
  <c r="AB43" i="1"/>
  <c r="AB51" i="1"/>
  <c r="AC30" i="1"/>
  <c r="AC43" i="1"/>
  <c r="AC51" i="1"/>
  <c r="AC82" i="1"/>
  <c r="AC77" i="1"/>
  <c r="AC6" i="1"/>
  <c r="AC76" i="1"/>
  <c r="AC75" i="1"/>
  <c r="AC11" i="1"/>
  <c r="AC74" i="1"/>
  <c r="AC73" i="1"/>
  <c r="M69" i="1"/>
  <c r="M70" i="1"/>
  <c r="M71" i="1"/>
  <c r="AC72" i="1"/>
  <c r="AC68" i="1"/>
  <c r="AC71" i="1"/>
  <c r="M50" i="1"/>
  <c r="AC67" i="1"/>
  <c r="AB10" i="1"/>
  <c r="L69" i="1"/>
  <c r="M63" i="1"/>
  <c r="M58" i="1"/>
  <c r="M43" i="1"/>
  <c r="M42" i="1"/>
  <c r="M44" i="1"/>
  <c r="L4" i="1"/>
  <c r="L6" i="1"/>
  <c r="L9" i="1"/>
  <c r="L16" i="1"/>
  <c r="L24" i="1"/>
  <c r="M18" i="1"/>
  <c r="M17" i="1"/>
  <c r="M8" i="1"/>
  <c r="M7" i="1"/>
  <c r="L50" i="1"/>
  <c r="L43" i="1"/>
  <c r="L42" i="1"/>
  <c r="L44" i="1"/>
  <c r="L28" i="1"/>
  <c r="I58" i="1"/>
  <c r="J58" i="1"/>
  <c r="K58" i="1"/>
  <c r="L58" i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/>
  <c r="K57" i="3"/>
  <c r="J47" i="3"/>
  <c r="J58" i="3"/>
  <c r="J57" i="3"/>
  <c r="I47" i="3"/>
  <c r="I58" i="3"/>
  <c r="I57" i="3"/>
  <c r="H47" i="3"/>
  <c r="H58" i="3"/>
  <c r="H57" i="3"/>
  <c r="G47" i="3"/>
  <c r="G58" i="3"/>
  <c r="G57" i="3"/>
  <c r="F47" i="3"/>
  <c r="F46" i="3"/>
  <c r="E47" i="3"/>
  <c r="E58" i="3"/>
  <c r="E57" i="3"/>
  <c r="D47" i="3"/>
  <c r="D58" i="3"/>
  <c r="D57" i="3"/>
  <c r="C47" i="3"/>
  <c r="C58" i="3"/>
  <c r="C57" i="3"/>
  <c r="B47" i="3"/>
  <c r="B58" i="3"/>
  <c r="B57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/>
  <c r="H29" i="3"/>
  <c r="H30" i="3"/>
  <c r="G29" i="3"/>
  <c r="G30" i="3"/>
  <c r="F29" i="3"/>
  <c r="F30" i="3"/>
  <c r="E29" i="3"/>
  <c r="E30" i="3"/>
  <c r="D29" i="3"/>
  <c r="D30" i="3"/>
  <c r="C29" i="3"/>
  <c r="C30" i="3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H20" i="3"/>
  <c r="H56" i="3"/>
  <c r="G20" i="3"/>
  <c r="F20" i="3"/>
  <c r="F56" i="3"/>
  <c r="E20" i="3"/>
  <c r="E56" i="3"/>
  <c r="D20" i="3"/>
  <c r="C20" i="3"/>
  <c r="C60" i="3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/>
  <c r="B5" i="3"/>
  <c r="B11" i="3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/>
  <c r="G71" i="2"/>
  <c r="G73" i="2"/>
  <c r="H62" i="2"/>
  <c r="F71" i="2"/>
  <c r="F73" i="2"/>
  <c r="E71" i="2"/>
  <c r="E73" i="2"/>
  <c r="D71" i="2"/>
  <c r="D73" i="2"/>
  <c r="C71" i="2"/>
  <c r="C73" i="2"/>
  <c r="B71" i="2"/>
  <c r="B73" i="2"/>
  <c r="R65" i="2"/>
  <c r="R68" i="2"/>
  <c r="Q65" i="2"/>
  <c r="Q68" i="2"/>
  <c r="P65" i="2"/>
  <c r="P68" i="2"/>
  <c r="O65" i="2"/>
  <c r="O68" i="2"/>
  <c r="N65" i="2"/>
  <c r="N68" i="2"/>
  <c r="M65" i="2"/>
  <c r="M68" i="2"/>
  <c r="L65" i="2"/>
  <c r="L68" i="2"/>
  <c r="G62" i="2"/>
  <c r="H49" i="2"/>
  <c r="G49" i="2"/>
  <c r="F49" i="2"/>
  <c r="E49" i="2"/>
  <c r="R48" i="2"/>
  <c r="R44" i="2"/>
  <c r="Q48" i="2"/>
  <c r="P48" i="2"/>
  <c r="P44" i="2"/>
  <c r="H45" i="2"/>
  <c r="G45" i="2"/>
  <c r="F45" i="2"/>
  <c r="E45" i="2"/>
  <c r="Q44" i="2"/>
  <c r="O44" i="2"/>
  <c r="N44" i="2"/>
  <c r="M44" i="2"/>
  <c r="L44" i="2"/>
  <c r="H42" i="2"/>
  <c r="H52" i="2"/>
  <c r="G42" i="2"/>
  <c r="F42" i="2"/>
  <c r="F52" i="2"/>
  <c r="E42" i="2"/>
  <c r="E52" i="2"/>
  <c r="I39" i="2"/>
  <c r="H39" i="2"/>
  <c r="G39" i="2"/>
  <c r="F39" i="2"/>
  <c r="E39" i="2"/>
  <c r="R32" i="2"/>
  <c r="R59" i="2"/>
  <c r="Q32" i="2"/>
  <c r="Q59" i="2"/>
  <c r="P32" i="2"/>
  <c r="O32" i="2"/>
  <c r="N32" i="2"/>
  <c r="M32" i="2"/>
  <c r="M59" i="2"/>
  <c r="M12" i="2"/>
  <c r="L32" i="2"/>
  <c r="L59" i="2"/>
  <c r="L12" i="2"/>
  <c r="H28" i="2"/>
  <c r="G28" i="2"/>
  <c r="F28" i="2"/>
  <c r="E28" i="2"/>
  <c r="I14" i="2"/>
  <c r="R10" i="2"/>
  <c r="H88" i="2"/>
  <c r="Q10" i="2"/>
  <c r="P10" i="2"/>
  <c r="O10" i="2"/>
  <c r="N10" i="2"/>
  <c r="M10" i="2"/>
  <c r="L10" i="2"/>
  <c r="I9" i="2"/>
  <c r="H9" i="2"/>
  <c r="H16" i="2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/>
  <c r="B6" i="2"/>
  <c r="I4" i="2"/>
  <c r="Y85" i="1"/>
  <c r="AB84" i="1"/>
  <c r="Y84" i="1"/>
  <c r="X84" i="1"/>
  <c r="W84" i="1"/>
  <c r="V84" i="1"/>
  <c r="U84" i="1"/>
  <c r="T84" i="1"/>
  <c r="Y80" i="1"/>
  <c r="S80" i="1"/>
  <c r="R80" i="1"/>
  <c r="S79" i="1"/>
  <c r="R79" i="1"/>
  <c r="AB77" i="1"/>
  <c r="AA77" i="1"/>
  <c r="Z77" i="1"/>
  <c r="Y77" i="1"/>
  <c r="X77" i="1"/>
  <c r="W77" i="1"/>
  <c r="V77" i="1"/>
  <c r="U77" i="1"/>
  <c r="T77" i="1"/>
  <c r="S77" i="1"/>
  <c r="R77" i="1"/>
  <c r="L70" i="1"/>
  <c r="K70" i="1"/>
  <c r="J70" i="1"/>
  <c r="I70" i="1"/>
  <c r="H70" i="1"/>
  <c r="G70" i="1"/>
  <c r="F70" i="1"/>
  <c r="E70" i="1"/>
  <c r="D70" i="1"/>
  <c r="C70" i="1"/>
  <c r="B70" i="1"/>
  <c r="L68" i="1"/>
  <c r="K68" i="1"/>
  <c r="J68" i="1"/>
  <c r="I68" i="1"/>
  <c r="H68" i="1"/>
  <c r="G68" i="1"/>
  <c r="F68" i="1"/>
  <c r="G86" i="2"/>
  <c r="E68" i="1"/>
  <c r="F86" i="2"/>
  <c r="F87" i="2"/>
  <c r="D68" i="1"/>
  <c r="E86" i="2"/>
  <c r="E87" i="2"/>
  <c r="C68" i="1"/>
  <c r="B68" i="1"/>
  <c r="AB67" i="1"/>
  <c r="AB70" i="1"/>
  <c r="Y67" i="1"/>
  <c r="Y70" i="1"/>
  <c r="X67" i="1"/>
  <c r="X70" i="1"/>
  <c r="W67" i="1"/>
  <c r="W70" i="1"/>
  <c r="V67" i="1"/>
  <c r="V70" i="1"/>
  <c r="U67" i="1"/>
  <c r="U70" i="1"/>
  <c r="T67" i="1"/>
  <c r="T70" i="1"/>
  <c r="S67" i="1"/>
  <c r="S70" i="1"/>
  <c r="R67" i="1"/>
  <c r="R70" i="1"/>
  <c r="L63" i="1"/>
  <c r="K63" i="1"/>
  <c r="J63" i="1"/>
  <c r="H63" i="1"/>
  <c r="G63" i="1"/>
  <c r="F63" i="1"/>
  <c r="E63" i="1"/>
  <c r="D63" i="1"/>
  <c r="C63" i="1"/>
  <c r="M62" i="1"/>
  <c r="L62" i="1"/>
  <c r="K62" i="1"/>
  <c r="J62" i="1"/>
  <c r="I62" i="1"/>
  <c r="I64" i="1"/>
  <c r="H62" i="1"/>
  <c r="G62" i="1"/>
  <c r="F62" i="1"/>
  <c r="E62" i="1"/>
  <c r="E64" i="1"/>
  <c r="D62" i="1"/>
  <c r="D64" i="1"/>
  <c r="C62" i="1"/>
  <c r="C64" i="1"/>
  <c r="B62" i="1"/>
  <c r="B64" i="1"/>
  <c r="M59" i="1"/>
  <c r="L59" i="1"/>
  <c r="I59" i="1"/>
  <c r="K59" i="1"/>
  <c r="J59" i="1"/>
  <c r="H58" i="1"/>
  <c r="H59" i="1"/>
  <c r="G58" i="1"/>
  <c r="G59" i="1"/>
  <c r="F58" i="1"/>
  <c r="F59" i="1"/>
  <c r="E58" i="1"/>
  <c r="E59" i="1"/>
  <c r="D58" i="1"/>
  <c r="D59" i="1"/>
  <c r="C58" i="1"/>
  <c r="C59" i="1"/>
  <c r="B58" i="1"/>
  <c r="B59" i="1"/>
  <c r="K50" i="1"/>
  <c r="AA67" i="1"/>
  <c r="AA70" i="1"/>
  <c r="J50" i="1"/>
  <c r="Z67" i="1"/>
  <c r="Z70" i="1"/>
  <c r="AA46" i="1"/>
  <c r="AA43" i="1"/>
  <c r="Z46" i="1"/>
  <c r="Z43" i="1"/>
  <c r="X46" i="1"/>
  <c r="Y79" i="1"/>
  <c r="W46" i="1"/>
  <c r="W43" i="1"/>
  <c r="V46" i="1"/>
  <c r="V43" i="1"/>
  <c r="I45" i="1"/>
  <c r="J44" i="1"/>
  <c r="Y43" i="1"/>
  <c r="U43" i="1"/>
  <c r="T43" i="1"/>
  <c r="S43" i="1"/>
  <c r="R43" i="1"/>
  <c r="K43" i="1"/>
  <c r="K42" i="1"/>
  <c r="M39" i="1"/>
  <c r="L39" i="1"/>
  <c r="K39" i="1"/>
  <c r="J39" i="1"/>
  <c r="H39" i="1"/>
  <c r="G39" i="1"/>
  <c r="F39" i="1"/>
  <c r="E39" i="1"/>
  <c r="D39" i="1"/>
  <c r="I31" i="1"/>
  <c r="AA30" i="1"/>
  <c r="Z30" i="1"/>
  <c r="Y30" i="1"/>
  <c r="X30" i="1"/>
  <c r="W30" i="1"/>
  <c r="V30" i="1"/>
  <c r="U30" i="1"/>
  <c r="U61" i="1"/>
  <c r="T30" i="1"/>
  <c r="S30" i="1"/>
  <c r="R30" i="1"/>
  <c r="R61" i="1"/>
  <c r="H28" i="1"/>
  <c r="G28" i="1"/>
  <c r="F28" i="1"/>
  <c r="E28" i="1"/>
  <c r="D28" i="1"/>
  <c r="K27" i="1"/>
  <c r="K28" i="1"/>
  <c r="I19" i="1"/>
  <c r="K14" i="1"/>
  <c r="K9" i="1"/>
  <c r="AC14" i="1"/>
  <c r="AB14" i="1"/>
  <c r="AA14" i="1"/>
  <c r="Z14" i="1"/>
  <c r="Y14" i="1"/>
  <c r="X14" i="1"/>
  <c r="W14" i="1"/>
  <c r="V14" i="1"/>
  <c r="U14" i="1"/>
  <c r="T14" i="1"/>
  <c r="AB83" i="1"/>
  <c r="AA10" i="1"/>
  <c r="Z10" i="1"/>
  <c r="Z83" i="1"/>
  <c r="Y10" i="1"/>
  <c r="X10" i="1"/>
  <c r="X83" i="1"/>
  <c r="W10" i="1"/>
  <c r="W83" i="1"/>
  <c r="V10" i="1"/>
  <c r="U10" i="1"/>
  <c r="U83" i="1"/>
  <c r="T10" i="1"/>
  <c r="S10" i="1"/>
  <c r="S83" i="1"/>
  <c r="R10" i="1"/>
  <c r="R83" i="1"/>
  <c r="AB80" i="1"/>
  <c r="H9" i="1"/>
  <c r="G9" i="1"/>
  <c r="W80" i="1"/>
  <c r="F9" i="1"/>
  <c r="E9" i="1"/>
  <c r="U80" i="1"/>
  <c r="D9" i="1"/>
  <c r="T80" i="1"/>
  <c r="C9" i="1"/>
  <c r="B9" i="1"/>
  <c r="AB6" i="1"/>
  <c r="AB68" i="1"/>
  <c r="AB71" i="1"/>
  <c r="AA6" i="1"/>
  <c r="AA68" i="1"/>
  <c r="AA71" i="1"/>
  <c r="Z6" i="1"/>
  <c r="Z68" i="1"/>
  <c r="Z71" i="1"/>
  <c r="Y6" i="1"/>
  <c r="X6" i="1"/>
  <c r="X68" i="1"/>
  <c r="X71" i="1"/>
  <c r="W6" i="1"/>
  <c r="V6" i="1"/>
  <c r="U6" i="1"/>
  <c r="U68" i="1"/>
  <c r="U71" i="1"/>
  <c r="T6" i="1"/>
  <c r="S6" i="1"/>
  <c r="R6" i="1"/>
  <c r="R11" i="1"/>
  <c r="I6" i="1"/>
  <c r="H6" i="1"/>
  <c r="G6" i="1"/>
  <c r="F6" i="1"/>
  <c r="E6" i="1"/>
  <c r="E16" i="1"/>
  <c r="D6" i="1"/>
  <c r="C6" i="1"/>
  <c r="B6" i="1"/>
  <c r="K4" i="1"/>
  <c r="AA84" i="1"/>
  <c r="Z84" i="1"/>
  <c r="M19" i="1"/>
  <c r="Y61" i="1"/>
  <c r="V61" i="1"/>
  <c r="Z61" i="1"/>
  <c r="AA79" i="1"/>
  <c r="AA51" i="1"/>
  <c r="F64" i="1"/>
  <c r="J64" i="1"/>
  <c r="AC61" i="1"/>
  <c r="T51" i="1"/>
  <c r="K44" i="1"/>
  <c r="W51" i="1"/>
  <c r="AA61" i="1"/>
  <c r="X61" i="1"/>
  <c r="AB61" i="1"/>
  <c r="Y51" i="1"/>
  <c r="H64" i="1"/>
  <c r="L64" i="1"/>
  <c r="I16" i="2"/>
  <c r="G46" i="3"/>
  <c r="X79" i="1"/>
  <c r="AB82" i="1"/>
  <c r="V51" i="1"/>
  <c r="X43" i="1"/>
  <c r="X51" i="1"/>
  <c r="M64" i="1"/>
  <c r="G52" i="2"/>
  <c r="H46" i="3"/>
  <c r="C7" i="1"/>
  <c r="S78" i="1"/>
  <c r="S81" i="1"/>
  <c r="G7" i="1"/>
  <c r="I8" i="1"/>
  <c r="S11" i="1"/>
  <c r="S73" i="1"/>
  <c r="T11" i="1"/>
  <c r="T13" i="1"/>
  <c r="T68" i="1"/>
  <c r="T71" i="1"/>
  <c r="V68" i="1"/>
  <c r="V71" i="1"/>
  <c r="V11" i="1"/>
  <c r="W68" i="1"/>
  <c r="W71" i="1"/>
  <c r="W11" i="1"/>
  <c r="T76" i="1"/>
  <c r="T83" i="1"/>
  <c r="T75" i="1"/>
  <c r="D69" i="1"/>
  <c r="V83" i="1"/>
  <c r="V76" i="1"/>
  <c r="S51" i="1"/>
  <c r="T82" i="1"/>
  <c r="S61" i="1"/>
  <c r="R62" i="1"/>
  <c r="T62" i="1"/>
  <c r="U62" i="1"/>
  <c r="V62" i="1"/>
  <c r="X62" i="1"/>
  <c r="Z62" i="1"/>
  <c r="AB62" i="1"/>
  <c r="AC62" i="1"/>
  <c r="G64" i="1"/>
  <c r="F7" i="2"/>
  <c r="Q76" i="2"/>
  <c r="G7" i="2"/>
  <c r="R76" i="2"/>
  <c r="H7" i="2"/>
  <c r="M71" i="2"/>
  <c r="M11" i="2"/>
  <c r="Q71" i="2"/>
  <c r="Q11" i="2"/>
  <c r="Q72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/>
  <c r="B30" i="3"/>
  <c r="B31" i="3"/>
  <c r="B39" i="3"/>
  <c r="C31" i="3"/>
  <c r="C39" i="3"/>
  <c r="D31" i="3"/>
  <c r="D39" i="3"/>
  <c r="E31" i="3"/>
  <c r="E39" i="3"/>
  <c r="F31" i="3"/>
  <c r="F39" i="3"/>
  <c r="G31" i="3"/>
  <c r="G39" i="3"/>
  <c r="I31" i="3"/>
  <c r="I39" i="3"/>
  <c r="J44" i="3"/>
  <c r="J38" i="3"/>
  <c r="J30" i="3"/>
  <c r="J31" i="3"/>
  <c r="J39" i="3"/>
  <c r="K31" i="3"/>
  <c r="K39" i="3"/>
  <c r="C44" i="3"/>
  <c r="C38" i="3"/>
  <c r="E44" i="3"/>
  <c r="E38" i="3"/>
  <c r="F44" i="3"/>
  <c r="F38" i="3"/>
  <c r="G44" i="3"/>
  <c r="G38" i="3"/>
  <c r="H44" i="3"/>
  <c r="H38" i="3"/>
  <c r="K44" i="3"/>
  <c r="K38" i="3"/>
  <c r="B46" i="3"/>
  <c r="I46" i="3"/>
  <c r="J46" i="3"/>
  <c r="E19" i="1"/>
  <c r="E24" i="1"/>
  <c r="E30" i="1"/>
  <c r="K6" i="1"/>
  <c r="E7" i="1"/>
  <c r="G8" i="1"/>
  <c r="Y76" i="1"/>
  <c r="Y75" i="1"/>
  <c r="U11" i="1"/>
  <c r="U13" i="1"/>
  <c r="C16" i="1"/>
  <c r="Y62" i="1"/>
  <c r="U51" i="1"/>
  <c r="U82" i="1"/>
  <c r="R75" i="1"/>
  <c r="R76" i="1"/>
  <c r="AB79" i="1"/>
  <c r="AA80" i="1"/>
  <c r="I24" i="2"/>
  <c r="L71" i="2"/>
  <c r="L11" i="2"/>
  <c r="P77" i="2"/>
  <c r="P78" i="2"/>
  <c r="P73" i="2"/>
  <c r="P81" i="2"/>
  <c r="P74" i="2"/>
  <c r="R12" i="2"/>
  <c r="Y73" i="1"/>
  <c r="Y68" i="1"/>
  <c r="Y71" i="1"/>
  <c r="V79" i="1"/>
  <c r="V80" i="1"/>
  <c r="T78" i="1"/>
  <c r="AB78" i="1"/>
  <c r="F7" i="1"/>
  <c r="H8" i="1"/>
  <c r="D16" i="1"/>
  <c r="E17" i="1"/>
  <c r="AA62" i="1"/>
  <c r="B69" i="1"/>
  <c r="B71" i="1"/>
  <c r="R73" i="1"/>
  <c r="S75" i="1"/>
  <c r="L76" i="2"/>
  <c r="L79" i="2"/>
  <c r="B16" i="2"/>
  <c r="Q79" i="2"/>
  <c r="Q12" i="2"/>
  <c r="Q60" i="2"/>
  <c r="H24" i="2"/>
  <c r="H19" i="2"/>
  <c r="V78" i="1"/>
  <c r="H7" i="1"/>
  <c r="X11" i="1"/>
  <c r="F16" i="1"/>
  <c r="T61" i="1"/>
  <c r="H86" i="2"/>
  <c r="H87" i="2"/>
  <c r="H90" i="2"/>
  <c r="R70" i="2"/>
  <c r="F69" i="1"/>
  <c r="F71" i="1"/>
  <c r="V75" i="1"/>
  <c r="W76" i="1"/>
  <c r="U78" i="1"/>
  <c r="T79" i="1"/>
  <c r="N76" i="2"/>
  <c r="O71" i="2"/>
  <c r="O66" i="2"/>
  <c r="O69" i="2"/>
  <c r="G8" i="2"/>
  <c r="D16" i="2"/>
  <c r="I7" i="1"/>
  <c r="U75" i="1"/>
  <c r="U76" i="1"/>
  <c r="E69" i="1"/>
  <c r="E71" i="1"/>
  <c r="U72" i="1"/>
  <c r="Y11" i="1"/>
  <c r="Y74" i="1"/>
  <c r="G16" i="1"/>
  <c r="K64" i="1"/>
  <c r="H69" i="1"/>
  <c r="H71" i="1"/>
  <c r="X75" i="1"/>
  <c r="X76" i="1"/>
  <c r="W78" i="1"/>
  <c r="U79" i="1"/>
  <c r="E7" i="2"/>
  <c r="O76" i="2"/>
  <c r="P71" i="2"/>
  <c r="P66" i="2"/>
  <c r="P69" i="2"/>
  <c r="L73" i="2"/>
  <c r="L81" i="2"/>
  <c r="L74" i="2"/>
  <c r="B88" i="2"/>
  <c r="B90" i="2"/>
  <c r="L70" i="2"/>
  <c r="O11" i="2"/>
  <c r="F16" i="2"/>
  <c r="N52" i="2"/>
  <c r="N80" i="2"/>
  <c r="N59" i="2"/>
  <c r="N12" i="2"/>
  <c r="N60" i="2"/>
  <c r="P60" i="2"/>
  <c r="L52" i="2"/>
  <c r="M80" i="2"/>
  <c r="M79" i="2"/>
  <c r="C69" i="1"/>
  <c r="C71" i="1"/>
  <c r="S76" i="1"/>
  <c r="L8" i="1"/>
  <c r="Z80" i="1"/>
  <c r="Z79" i="1"/>
  <c r="Z11" i="1"/>
  <c r="H16" i="1"/>
  <c r="R51" i="1"/>
  <c r="Z51" i="1"/>
  <c r="I69" i="1"/>
  <c r="I71" i="1"/>
  <c r="Y72" i="1"/>
  <c r="D71" i="1"/>
  <c r="Z75" i="1"/>
  <c r="Z76" i="1"/>
  <c r="X78" i="1"/>
  <c r="W79" i="1"/>
  <c r="Y83" i="1"/>
  <c r="F8" i="2"/>
  <c r="P76" i="2"/>
  <c r="P11" i="2"/>
  <c r="G18" i="2"/>
  <c r="G24" i="2"/>
  <c r="G19" i="2"/>
  <c r="O59" i="2"/>
  <c r="O12" i="2"/>
  <c r="O52" i="2"/>
  <c r="O60" i="2"/>
  <c r="N79" i="2"/>
  <c r="K69" i="1"/>
  <c r="K71" i="1"/>
  <c r="AA76" i="1"/>
  <c r="W61" i="1"/>
  <c r="W62" i="1"/>
  <c r="J69" i="1"/>
  <c r="J71" i="1"/>
  <c r="AA75" i="1"/>
  <c r="AB76" i="1"/>
  <c r="Y78" i="1"/>
  <c r="Y81" i="1"/>
  <c r="X80" i="1"/>
  <c r="AA83" i="1"/>
  <c r="R11" i="2"/>
  <c r="R72" i="2"/>
  <c r="N73" i="2"/>
  <c r="D88" i="2"/>
  <c r="D90" i="2"/>
  <c r="N70" i="2"/>
  <c r="R71" i="2"/>
  <c r="F88" i="2"/>
  <c r="F90" i="2"/>
  <c r="P70" i="2"/>
  <c r="S62" i="1"/>
  <c r="G87" i="2"/>
  <c r="G90" i="2"/>
  <c r="Q70" i="2"/>
  <c r="Q66" i="2"/>
  <c r="Q69" i="2"/>
  <c r="N66" i="2"/>
  <c r="N69" i="2"/>
  <c r="N11" i="2"/>
  <c r="N71" i="2"/>
  <c r="G69" i="1"/>
  <c r="G71" i="1"/>
  <c r="W75" i="1"/>
  <c r="AA11" i="1"/>
  <c r="R78" i="1"/>
  <c r="R81" i="1"/>
  <c r="L7" i="1"/>
  <c r="AB11" i="1"/>
  <c r="B16" i="1"/>
  <c r="L71" i="1"/>
  <c r="AB75" i="1"/>
  <c r="H8" i="2"/>
  <c r="D7" i="2"/>
  <c r="O78" i="2"/>
  <c r="O77" i="2"/>
  <c r="E16" i="2"/>
  <c r="O73" i="2"/>
  <c r="O81" i="2"/>
  <c r="O74" i="2"/>
  <c r="E88" i="2"/>
  <c r="E90" i="2"/>
  <c r="O70" i="2"/>
  <c r="G17" i="2"/>
  <c r="M60" i="2"/>
  <c r="R74" i="2"/>
  <c r="R81" i="2"/>
  <c r="B15" i="3"/>
  <c r="H31" i="3"/>
  <c r="H39" i="3"/>
  <c r="D44" i="3"/>
  <c r="D38" i="3"/>
  <c r="B51" i="3"/>
  <c r="F58" i="3"/>
  <c r="F57" i="3"/>
  <c r="I6" i="2"/>
  <c r="I19" i="2"/>
  <c r="C7" i="2"/>
  <c r="C16" i="2"/>
  <c r="R73" i="2"/>
  <c r="R77" i="2"/>
  <c r="C88" i="2"/>
  <c r="C90" i="2"/>
  <c r="C15" i="3"/>
  <c r="C51" i="3"/>
  <c r="E55" i="3"/>
  <c r="C56" i="3"/>
  <c r="K56" i="3"/>
  <c r="E60" i="3"/>
  <c r="R78" i="2"/>
  <c r="R79" i="2"/>
  <c r="C11" i="3"/>
  <c r="F55" i="3"/>
  <c r="F60" i="3"/>
  <c r="R52" i="2"/>
  <c r="M74" i="2"/>
  <c r="C46" i="3"/>
  <c r="K46" i="3"/>
  <c r="G55" i="3"/>
  <c r="D46" i="3"/>
  <c r="H55" i="3"/>
  <c r="H60" i="3"/>
  <c r="I44" i="3"/>
  <c r="I38" i="3"/>
  <c r="Q74" i="2"/>
  <c r="C55" i="3"/>
  <c r="K55" i="3"/>
  <c r="X81" i="1"/>
  <c r="T72" i="1"/>
  <c r="L18" i="1"/>
  <c r="L30" i="1"/>
  <c r="L31" i="1"/>
  <c r="E29" i="1"/>
  <c r="V82" i="1"/>
  <c r="V72" i="1"/>
  <c r="W72" i="1"/>
  <c r="S82" i="1"/>
  <c r="Y82" i="1"/>
  <c r="AB81" i="1"/>
  <c r="L19" i="1"/>
  <c r="X82" i="1"/>
  <c r="M70" i="2"/>
  <c r="W82" i="1"/>
  <c r="AB85" i="1"/>
  <c r="AB74" i="1"/>
  <c r="R80" i="2"/>
  <c r="AB72" i="1"/>
  <c r="P80" i="2"/>
  <c r="R66" i="2"/>
  <c r="R69" i="2"/>
  <c r="W81" i="1"/>
  <c r="X72" i="1"/>
  <c r="U81" i="1"/>
  <c r="T81" i="1"/>
  <c r="Q80" i="2"/>
  <c r="N72" i="2"/>
  <c r="D24" i="2"/>
  <c r="D19" i="2"/>
  <c r="D17" i="2"/>
  <c r="V85" i="1"/>
  <c r="F19" i="1"/>
  <c r="I18" i="1"/>
  <c r="F17" i="1"/>
  <c r="V74" i="1"/>
  <c r="F24" i="1"/>
  <c r="H76" i="2"/>
  <c r="H81" i="2"/>
  <c r="H83" i="2"/>
  <c r="H30" i="2"/>
  <c r="H29" i="2"/>
  <c r="B24" i="1"/>
  <c r="B30" i="1"/>
  <c r="R74" i="1"/>
  <c r="B19" i="1"/>
  <c r="R72" i="1"/>
  <c r="M72" i="2"/>
  <c r="C17" i="2"/>
  <c r="C24" i="2"/>
  <c r="C19" i="2"/>
  <c r="O72" i="2"/>
  <c r="E19" i="2"/>
  <c r="E17" i="2"/>
  <c r="E24" i="2"/>
  <c r="I30" i="2"/>
  <c r="I29" i="2"/>
  <c r="AA82" i="1"/>
  <c r="AA78" i="1"/>
  <c r="AA81" i="1"/>
  <c r="K16" i="1"/>
  <c r="AA72" i="1"/>
  <c r="K7" i="1"/>
  <c r="K8" i="1"/>
  <c r="O79" i="2"/>
  <c r="U73" i="1"/>
  <c r="E40" i="1"/>
  <c r="E45" i="1"/>
  <c r="E31" i="1"/>
  <c r="F18" i="2"/>
  <c r="F17" i="2"/>
  <c r="P72" i="2"/>
  <c r="F24" i="2"/>
  <c r="F19" i="2"/>
  <c r="O80" i="2"/>
  <c r="L72" i="2"/>
  <c r="B24" i="2"/>
  <c r="B19" i="2"/>
  <c r="V81" i="1"/>
  <c r="P79" i="2"/>
  <c r="Z82" i="1"/>
  <c r="Z78" i="1"/>
  <c r="Z81" i="1"/>
  <c r="J7" i="1"/>
  <c r="J8" i="1"/>
  <c r="S72" i="1"/>
  <c r="G19" i="1"/>
  <c r="G17" i="1"/>
  <c r="G24" i="1"/>
  <c r="W74" i="1"/>
  <c r="W85" i="1"/>
  <c r="G18" i="1"/>
  <c r="H18" i="2"/>
  <c r="L80" i="2"/>
  <c r="D24" i="1"/>
  <c r="T74" i="1"/>
  <c r="D19" i="1"/>
  <c r="M31" i="1"/>
  <c r="M40" i="1"/>
  <c r="M45" i="1"/>
  <c r="M29" i="1"/>
  <c r="U74" i="1"/>
  <c r="S74" i="1"/>
  <c r="C24" i="1"/>
  <c r="C30" i="1"/>
  <c r="C17" i="1"/>
  <c r="C19" i="1"/>
  <c r="R82" i="1"/>
  <c r="G30" i="2"/>
  <c r="G29" i="2"/>
  <c r="G76" i="2"/>
  <c r="G81" i="2"/>
  <c r="G83" i="2"/>
  <c r="X85" i="1"/>
  <c r="H19" i="1"/>
  <c r="I17" i="1"/>
  <c r="H17" i="1"/>
  <c r="X74" i="1"/>
  <c r="H18" i="1"/>
  <c r="H24" i="1"/>
  <c r="C79" i="2"/>
  <c r="L32" i="1"/>
  <c r="AB73" i="1"/>
  <c r="L40" i="1"/>
  <c r="L45" i="1"/>
  <c r="L29" i="1"/>
  <c r="G30" i="1"/>
  <c r="G29" i="1"/>
  <c r="F30" i="2"/>
  <c r="F29" i="2"/>
  <c r="F76" i="2"/>
  <c r="F81" i="2"/>
  <c r="F83" i="2"/>
  <c r="C76" i="2"/>
  <c r="C81" i="2"/>
  <c r="C83" i="2"/>
  <c r="C30" i="2"/>
  <c r="I40" i="2"/>
  <c r="I31" i="2"/>
  <c r="B30" i="2"/>
  <c r="B76" i="2"/>
  <c r="B81" i="2"/>
  <c r="B83" i="2"/>
  <c r="E30" i="2"/>
  <c r="H32" i="2"/>
  <c r="E29" i="2"/>
  <c r="E76" i="2"/>
  <c r="E81" i="2"/>
  <c r="E83" i="2"/>
  <c r="F29" i="1"/>
  <c r="F30" i="1"/>
  <c r="D30" i="2"/>
  <c r="D31" i="2"/>
  <c r="D29" i="2"/>
  <c r="D30" i="1"/>
  <c r="D29" i="1"/>
  <c r="H31" i="2"/>
  <c r="H40" i="2"/>
  <c r="H53" i="2"/>
  <c r="G31" i="2"/>
  <c r="G40" i="2"/>
  <c r="G53" i="2"/>
  <c r="H30" i="1"/>
  <c r="H29" i="1"/>
  <c r="Z74" i="1"/>
  <c r="J18" i="1"/>
  <c r="Z85" i="1"/>
  <c r="J19" i="1"/>
  <c r="J17" i="1"/>
  <c r="AA74" i="1"/>
  <c r="K18" i="1"/>
  <c r="AA85" i="1"/>
  <c r="K19" i="1"/>
  <c r="K24" i="1"/>
  <c r="K17" i="1"/>
  <c r="L17" i="1"/>
  <c r="Z72" i="1"/>
  <c r="J29" i="1"/>
  <c r="E40" i="2"/>
  <c r="E53" i="2"/>
  <c r="E31" i="2"/>
  <c r="K30" i="1"/>
  <c r="K29" i="1"/>
  <c r="D40" i="1"/>
  <c r="D31" i="1"/>
  <c r="T73" i="1"/>
  <c r="F40" i="2"/>
  <c r="F53" i="2"/>
  <c r="F31" i="2"/>
  <c r="I32" i="1"/>
  <c r="F40" i="1"/>
  <c r="F45" i="1"/>
  <c r="F31" i="1"/>
  <c r="V73" i="1"/>
  <c r="H32" i="1"/>
  <c r="X73" i="1"/>
  <c r="H40" i="1"/>
  <c r="H45" i="1"/>
  <c r="H31" i="1"/>
  <c r="W73" i="1"/>
  <c r="G40" i="1"/>
  <c r="G45" i="1"/>
  <c r="G31" i="1"/>
  <c r="AA73" i="1"/>
  <c r="K40" i="1"/>
  <c r="K45" i="1"/>
  <c r="K31" i="1"/>
  <c r="K32" i="1"/>
  <c r="Z73" i="1"/>
  <c r="J31" i="1"/>
  <c r="J40" i="1"/>
  <c r="J45" i="1"/>
  <c r="J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U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<sst xmlns="http://schemas.openxmlformats.org/spreadsheetml/2006/main" count="532" uniqueCount="270">
  <si>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</si>
  <si>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</si>
  <si>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</si>
  <si>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</si>
  <si>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</si>
  <si>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</si>
  <si>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</si>
  <si>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</si>
  <si>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</si>
  <si>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</si>
  <si>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</si>
  <si>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</si>
  <si>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</si>
  <si>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</si>
  <si>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</si>
  <si>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</si>
  <si>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</si>
  <si>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</si>
  <si>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</si>
  <si>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</si>
  <si>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</si>
  <si>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</si>
  <si>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</si>
  <si>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</si>
  <si>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</si>
  <si>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</si>
  <si>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</si>
  <si>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</si>
  <si>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</si>
  <si>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</si>
  <si>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</si>
  <si>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</si>
  <si>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</si>
  <si>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</si>
  <si>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</si>
  <si>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</si>
  <si>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</si>
  <si>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</si>
  <si>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</si>
  <si>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</si>
  <si>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</si>
  <si>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</si>
  <si>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</si>
  <si>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</si>
  <si>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</si>
  <si>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</si>
  <si>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</si>
  <si>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</si>
  <si>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</si>
  <si>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</si>
  <si>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</si>
  <si>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</si>
  <si>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</si>
  <si>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</si>
  <si>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</si>
  <si>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</si>
  <si>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</si>
  <si>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</si>
  <si>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</si>
  <si>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</si>
  <si>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</si>
  <si>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</si>
  <si>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</si>
  <si>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</si>
  <si>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</si>
  <si>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</si>
  <si>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</si>
  <si>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</si>
  <si>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</si>
  <si>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</si>
  <si>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</si>
  <si>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</si>
  <si>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</si>
  <si>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</si>
  <si>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</si>
  <si>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</si>
  <si>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</si>
  <si>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</si>
  <si>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</si>
  <si>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</si>
  <si>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</si>
  <si>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</si>
  <si>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</si>
  <si>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</si>
  <si>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</si>
  <si>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</si>
  <si>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</si>
  <si>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</si>
  <si>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</si>
  <si>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</si>
  <si>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</si>
  <si>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</si>
  <si>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</si>
  <si>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</si>
  <si>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</si>
  <si>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</si>
  <si>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</si>
  <si>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</si>
  <si>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</si>
  <si>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</si>
  <si>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</si>
  <si>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</si>
  <si>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</si>
  <si>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</si>
  <si>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</si>
  <si>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</si>
  <si>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</si>
  <si>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</si>
  <si>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</si>
  <si>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</si>
  <si>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</si>
  <si>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</si>
  <si>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</si>
  <si>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</si>
  <si>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</si>
  <si>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</si>
  <si>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</si>
  <si>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</si>
  <si>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</si>
  <si>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</si>
  <si>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</si>
  <si>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</si>
  <si>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</si>
  <si>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</si>
  <si>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</si>
  <si>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</si>
  <si>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</si>
  <si>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</si>
  <si>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</si>
  <si>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</si>
  <si>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</si>
  <si>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</si>
  <si>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</si>
  <si>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</si>
  <si>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</si>
  <si>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</si>
  <si>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</si>
  <si>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</si>
  <si>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</si>
  <si>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</si>
  <si>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</si>
  <si>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</si>
  <si>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</si>
  <si>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</si>
  <si>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</si>
  <si>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</si>
  <si>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</si>
  <si>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</si>
  <si>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</si>
  <si>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</si>
  <si>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</si>
  <si>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</si>
  <si>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</si>
  <si>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</si>
  <si>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</si>
  <si>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</si>
  <si>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</si>
  <si>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</si>
  <si>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</si>
  <si>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</si>
  <si>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</si>
  <si>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</si>
  <si>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</si>
  <si>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</si>
  <si>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</si>
  <si>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</si>
  <si>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</si>
  <si>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</si>
  <si>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</si>
  <si>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</si>
  <si>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</si>
  <si>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</si>
  <si>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</si>
  <si>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</si>
  <si>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</si>
  <si>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</si>
  <si>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</si>
  <si>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</si>
  <si>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</si>
  <si>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</si>
  <si>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</si>
  <si>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</si>
  <si>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</si>
  <si>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</si>
  <si>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</si>
  <si>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</si>
  <si>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</si>
  <si>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</si>
  <si>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</si>
  <si>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</si>
  <si>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</si>
  <si>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</si>
  <si>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</si>
  <si>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</si>
  <si>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</si>
  <si>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</si>
  <si>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</si>
  <si>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</si>
  <si>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</si>
  <si>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</si>
  <si>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</si>
  <si>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</si>
  <si>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</si>
  <si>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</si>
  <si>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</si>
  <si>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</si>
  <si>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</si>
  <si>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</si>
  <si>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</si>
  <si>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</si>
  <si>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</si>
  <si>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</si>
  <si>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</si>
  <si>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</si>
  <si>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</si>
  <si>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</si>
  <si>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</si>
  <si>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</si>
  <si>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</si>
  <si>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</si>
  <si>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</si>
  <si>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</si>
  <si>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</si>
  <si>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</si>
  <si>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</si>
  <si>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</si>
  <si>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</si>
  <si>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</si>
  <si>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</si>
  <si>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</si>
  <si>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</si>
  <si>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</si>
  <si>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</si>
  <si>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</si>
  <si>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</si>
  <si>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</si>
  <si>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</si>
  <si>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</si>
  <si>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</si>
  <si>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</si>
  <si>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</si>
  <si>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</si>
  <si>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</si>
  <si>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</si>
  <si>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</si>
  <si>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</si>
  <si>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</si>
  <si>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</si>
  <si>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</si>
  <si>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</si>
  <si>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</si>
  <si>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</si>
  <si>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</si>
  <si>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</si>
  <si>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</si>
  <si>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</si>
  <si>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</si>
  <si>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</si>
  <si>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</si>
  <si>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</si>
  <si>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</si>
  <si>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</si>
  <si>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</si>
  <si>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</si>
  <si>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</si>
  <si>
    <t>H1-FY26</t>
  </si>
  <si>
    <t>TTM</t>
  </si>
  <si>
    <t>9M-FY26</t>
  </si>
  <si>
    <t>Closing Price of 31st dec</t>
  </si>
  <si>
    <t>Exceptional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</si>
</sst>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3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10"/>
      <name val="MyFirstFont"/>
    </font>
  </fonts>
  <fills count="11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79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/>
    <xf numFmtId="0" fontId="7" fillId="0" borderId="7" xfId="0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165" fontId="7" fillId="0" borderId="7" xfId="0" applyNumberFormat="1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10" fontId="9" fillId="0" borderId="0" xfId="0" applyNumberFormat="1" applyFont="1"/>
    <xf numFmtId="0" fontId="9" fillId="0" borderId="6" xfId="0" applyFont="1" applyBorder="1"/>
    <xf numFmtId="0" fontId="11" fillId="0" borderId="7" xfId="0" applyFont="1" applyBorder="1"/>
    <xf numFmtId="164" fontId="9" fillId="3" borderId="7" xfId="0" applyNumberFormat="1" applyFont="1" applyFill="1" applyBorder="1"/>
    <xf numFmtId="164" fontId="9" fillId="3" borderId="11" xfId="0" applyNumberFormat="1" applyFont="1" applyFill="1" applyBorder="1"/>
    <xf numFmtId="0" fontId="12" fillId="0" borderId="0" xfId="0" applyFont="1"/>
    <xf numFmtId="0" fontId="7" fillId="4" borderId="6" xfId="0" applyFont="1" applyFill="1" applyBorder="1"/>
    <xf numFmtId="165" fontId="7" fillId="4" borderId="7" xfId="0" applyNumberFormat="1" applyFont="1" applyFill="1" applyBorder="1"/>
    <xf numFmtId="165" fontId="7" fillId="4" borderId="12" xfId="0" applyNumberFormat="1" applyFont="1" applyFill="1" applyBorder="1"/>
    <xf numFmtId="166" fontId="9" fillId="0" borderId="0" xfId="0" applyNumberFormat="1" applyFont="1"/>
    <xf numFmtId="165" fontId="7" fillId="4" borderId="11" xfId="0" applyNumberFormat="1" applyFont="1" applyFill="1" applyBorder="1"/>
    <xf numFmtId="0" fontId="13" fillId="4" borderId="6" xfId="0" applyFont="1" applyFill="1" applyBorder="1"/>
    <xf numFmtId="10" fontId="13" fillId="4" borderId="7" xfId="0" applyNumberFormat="1" applyFont="1" applyFill="1" applyBorder="1"/>
    <xf numFmtId="10" fontId="13" fillId="4" borderId="12" xfId="0" applyNumberFormat="1" applyFont="1" applyFill="1" applyBorder="1"/>
    <xf numFmtId="0" fontId="9" fillId="0" borderId="7" xfId="0" applyFont="1" applyBorder="1"/>
    <xf numFmtId="0" fontId="9" fillId="3" borderId="12" xfId="0" applyFont="1" applyFill="1" applyBorder="1"/>
    <xf numFmtId="0" fontId="9" fillId="3" borderId="7" xfId="0" applyFont="1" applyFill="1" applyBorder="1"/>
    <xf numFmtId="165" fontId="7" fillId="0" borderId="8" xfId="0" applyNumberFormat="1" applyFont="1" applyBorder="1"/>
    <xf numFmtId="0" fontId="9" fillId="0" borderId="10" xfId="0" applyFont="1" applyBorder="1"/>
    <xf numFmtId="43" fontId="9" fillId="0" borderId="7" xfId="0" applyNumberFormat="1" applyFont="1" applyBorder="1"/>
    <xf numFmtId="43" fontId="9" fillId="0" borderId="8" xfId="0" applyNumberFormat="1" applyFont="1" applyBorder="1"/>
    <xf numFmtId="0" fontId="7" fillId="4" borderId="13" xfId="0" applyFont="1" applyFill="1" applyBorder="1"/>
    <xf numFmtId="165" fontId="7" fillId="4" borderId="14" xfId="0" applyNumberFormat="1" applyFont="1" applyFill="1" applyBorder="1"/>
    <xf numFmtId="165" fontId="7" fillId="4" borderId="15" xfId="0" applyNumberFormat="1" applyFont="1" applyFill="1" applyBorder="1"/>
    <xf numFmtId="165" fontId="7" fillId="4" borderId="16" xfId="0" applyNumberFormat="1" applyFont="1" applyFill="1" applyBorder="1"/>
    <xf numFmtId="164" fontId="9" fillId="0" borderId="8" xfId="0" applyNumberFormat="1" applyFont="1" applyBorder="1"/>
    <xf numFmtId="10" fontId="7" fillId="4" borderId="7" xfId="0" applyNumberFormat="1" applyFont="1" applyFill="1" applyBorder="1"/>
    <xf numFmtId="10" fontId="7" fillId="4" borderId="12" xfId="0" applyNumberFormat="1" applyFont="1" applyFill="1" applyBorder="1"/>
    <xf numFmtId="0" fontId="9" fillId="0" borderId="7" xfId="0" applyFont="1" applyBorder="1" applyAlignment="1">
      <alignment horizontal="right"/>
    </xf>
    <xf numFmtId="43" fontId="9" fillId="0" borderId="0" xfId="0" applyNumberFormat="1" applyFont="1"/>
    <xf numFmtId="165" fontId="9" fillId="3" borderId="12" xfId="0" applyNumberFormat="1" applyFont="1" applyFill="1" applyBorder="1" applyAlignment="1">
      <alignment horizontal="center" vertical="top"/>
    </xf>
    <xf numFmtId="165" fontId="9" fillId="3" borderId="12" xfId="0" applyNumberFormat="1" applyFont="1" applyFill="1" applyBorder="1" applyAlignment="1">
      <alignment horizontal="center"/>
    </xf>
    <xf numFmtId="10" fontId="13" fillId="4" borderId="7" xfId="0" applyNumberFormat="1" applyFont="1" applyFill="1" applyBorder="1" applyAlignment="1">
      <alignment horizontal="right"/>
    </xf>
    <xf numFmtId="0" fontId="9" fillId="0" borderId="8" xfId="0" applyFont="1" applyBorder="1"/>
    <xf numFmtId="0" fontId="9" fillId="4" borderId="7" xfId="0" applyFont="1" applyFill="1" applyBorder="1"/>
    <xf numFmtId="0" fontId="7" fillId="4" borderId="7" xfId="0" applyFont="1" applyFill="1" applyBorder="1"/>
    <xf numFmtId="0" fontId="7" fillId="4" borderId="12" xfId="0" applyFont="1" applyFill="1" applyBorder="1"/>
    <xf numFmtId="43" fontId="7" fillId="4" borderId="7" xfId="0" applyNumberFormat="1" applyFont="1" applyFill="1" applyBorder="1"/>
    <xf numFmtId="43" fontId="7" fillId="4" borderId="12" xfId="0" applyNumberFormat="1" applyFont="1" applyFill="1" applyBorder="1"/>
    <xf numFmtId="0" fontId="9" fillId="0" borderId="17" xfId="0" applyFont="1" applyBorder="1"/>
    <xf numFmtId="164" fontId="9" fillId="0" borderId="0" xfId="0" applyNumberFormat="1" applyFont="1"/>
    <xf numFmtId="0" fontId="9" fillId="0" borderId="8" xfId="0" applyFont="1" applyBorder="1" applyAlignment="1">
      <alignment horizontal="right"/>
    </xf>
    <xf numFmtId="0" fontId="7" fillId="0" borderId="7" xfId="0" applyFont="1" applyBorder="1"/>
    <xf numFmtId="0" fontId="7" fillId="3" borderId="12" xfId="0" applyFont="1" applyFill="1" applyBorder="1"/>
    <xf numFmtId="164" fontId="7" fillId="0" borderId="7" xfId="0" applyNumberFormat="1" applyFont="1" applyBorder="1"/>
    <xf numFmtId="0" fontId="7" fillId="0" borderId="8" xfId="0" applyFont="1" applyBorder="1"/>
    <xf numFmtId="43" fontId="7" fillId="0" borderId="7" xfId="0" applyNumberFormat="1" applyFont="1" applyBorder="1"/>
    <xf numFmtId="165" fontId="9" fillId="0" borderId="6" xfId="0" applyNumberFormat="1" applyFont="1" applyBorder="1"/>
    <xf numFmtId="164" fontId="9" fillId="0" borderId="7" xfId="0" applyNumberFormat="1" applyFont="1" applyBorder="1"/>
    <xf numFmtId="43" fontId="7" fillId="0" borderId="8" xfId="0" applyNumberFormat="1" applyFont="1" applyBorder="1"/>
    <xf numFmtId="0" fontId="7" fillId="0" borderId="18" xfId="0" applyFont="1" applyBorder="1"/>
    <xf numFmtId="0" fontId="7" fillId="0" borderId="19" xfId="0" applyFont="1" applyBorder="1"/>
    <xf numFmtId="165" fontId="7" fillId="0" borderId="19" xfId="0" applyNumberFormat="1" applyFont="1" applyBorder="1"/>
    <xf numFmtId="43" fontId="7" fillId="0" borderId="19" xfId="0" applyNumberFormat="1" applyFont="1" applyBorder="1"/>
    <xf numFmtId="43" fontId="7" fillId="0" borderId="20" xfId="0" applyNumberFormat="1" applyFont="1" applyBorder="1"/>
    <xf numFmtId="43" fontId="7" fillId="3" borderId="21" xfId="0" applyNumberFormat="1" applyFont="1" applyFill="1" applyBorder="1"/>
    <xf numFmtId="0" fontId="9" fillId="3" borderId="11" xfId="0" applyFont="1" applyFill="1" applyBorder="1"/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3" fontId="7" fillId="0" borderId="24" xfId="0" applyNumberFormat="1" applyFont="1" applyBorder="1" applyAlignment="1">
      <alignment horizontal="center"/>
    </xf>
    <xf numFmtId="164" fontId="9" fillId="3" borderId="12" xfId="0" applyNumberFormat="1" applyFont="1" applyFill="1" applyBorder="1"/>
    <xf numFmtId="165" fontId="9" fillId="3" borderId="12" xfId="0" applyNumberFormat="1" applyFont="1" applyFill="1" applyBorder="1"/>
    <xf numFmtId="164" fontId="9" fillId="0" borderId="10" xfId="0" applyNumberFormat="1" applyFont="1" applyBorder="1"/>
    <xf numFmtId="165" fontId="7" fillId="4" borderId="19" xfId="0" applyNumberFormat="1" applyFont="1" applyFill="1" applyBorder="1"/>
    <xf numFmtId="165" fontId="7" fillId="4" borderId="21" xfId="0" applyNumberFormat="1" applyFont="1" applyFill="1" applyBorder="1"/>
    <xf numFmtId="0" fontId="7" fillId="0" borderId="0" xfId="0" applyFont="1" applyAlignment="1">
      <alignment horizontal="center"/>
    </xf>
    <xf numFmtId="0" fontId="9" fillId="0" borderId="26" xfId="0" applyFont="1" applyBorder="1"/>
    <xf numFmtId="0" fontId="9" fillId="0" borderId="27" xfId="0" applyFont="1" applyBorder="1"/>
    <xf numFmtId="0" fontId="14" fillId="0" borderId="27" xfId="0" applyFont="1" applyBorder="1"/>
    <xf numFmtId="43" fontId="7" fillId="0" borderId="0" xfId="0" applyNumberFormat="1" applyFont="1"/>
    <xf numFmtId="0" fontId="7" fillId="5" borderId="22" xfId="0" applyFont="1" applyFill="1" applyBorder="1"/>
    <xf numFmtId="0" fontId="7" fillId="0" borderId="4" xfId="0" applyFont="1" applyBorder="1" applyAlignment="1">
      <alignment horizontal="center"/>
    </xf>
    <xf numFmtId="165" fontId="7" fillId="0" borderId="0" xfId="0" applyNumberFormat="1" applyFont="1"/>
    <xf numFmtId="0" fontId="7" fillId="4" borderId="18" xfId="0" applyFont="1" applyFill="1" applyBorder="1"/>
    <xf numFmtId="165" fontId="7" fillId="4" borderId="30" xfId="0" applyNumberFormat="1" applyFont="1" applyFill="1" applyBorder="1"/>
    <xf numFmtId="165" fontId="15" fillId="0" borderId="7" xfId="0" applyNumberFormat="1" applyFont="1" applyBorder="1"/>
    <xf numFmtId="165" fontId="16" fillId="4" borderId="19" xfId="0" applyNumberFormat="1" applyFont="1" applyFill="1" applyBorder="1"/>
    <xf numFmtId="3" fontId="17" fillId="0" borderId="0" xfId="0" applyNumberFormat="1" applyFont="1"/>
    <xf numFmtId="0" fontId="7" fillId="0" borderId="23" xfId="0" applyFont="1" applyBorder="1" applyAlignment="1">
      <alignment horizontal="right"/>
    </xf>
    <xf numFmtId="165" fontId="9" fillId="0" borderId="0" xfId="0" applyNumberFormat="1" applyFont="1"/>
    <xf numFmtId="164" fontId="7" fillId="0" borderId="6" xfId="0" applyNumberFormat="1" applyFont="1" applyBorder="1"/>
    <xf numFmtId="43" fontId="7" fillId="0" borderId="31" xfId="0" applyNumberFormat="1" applyFont="1" applyBorder="1"/>
    <xf numFmtId="43" fontId="7" fillId="3" borderId="7" xfId="0" applyNumberFormat="1" applyFont="1" applyFill="1" applyBorder="1"/>
    <xf numFmtId="0" fontId="9" fillId="0" borderId="22" xfId="0" applyFont="1" applyBorder="1"/>
    <xf numFmtId="168" fontId="9" fillId="0" borderId="23" xfId="0" applyNumberFormat="1" applyFont="1" applyBorder="1"/>
    <xf numFmtId="3" fontId="18" fillId="0" borderId="23" xfId="0" applyNumberFormat="1" applyFont="1" applyBorder="1"/>
    <xf numFmtId="3" fontId="17" fillId="0" borderId="23" xfId="0" applyNumberFormat="1" applyFont="1" applyBorder="1"/>
    <xf numFmtId="3" fontId="17" fillId="3" borderId="23" xfId="0" applyNumberFormat="1" applyFont="1" applyFill="1" applyBorder="1"/>
    <xf numFmtId="164" fontId="7" fillId="4" borderId="6" xfId="0" applyNumberFormat="1" applyFont="1" applyFill="1" applyBorder="1"/>
    <xf numFmtId="165" fontId="9" fillId="4" borderId="7" xfId="0" applyNumberFormat="1" applyFont="1" applyFill="1" applyBorder="1"/>
    <xf numFmtId="164" fontId="9" fillId="4" borderId="6" xfId="0" applyNumberFormat="1" applyFont="1" applyFill="1" applyBorder="1"/>
    <xf numFmtId="43" fontId="9" fillId="4" borderId="7" xfId="0" applyNumberFormat="1" applyFont="1" applyFill="1" applyBorder="1"/>
    <xf numFmtId="43" fontId="9" fillId="4" borderId="12" xfId="0" applyNumberFormat="1" applyFont="1" applyFill="1" applyBorder="1"/>
    <xf numFmtId="164" fontId="9" fillId="0" borderId="6" xfId="0" applyNumberFormat="1" applyFont="1" applyBorder="1"/>
    <xf numFmtId="2" fontId="9" fillId="0" borderId="7" xfId="0" applyNumberFormat="1" applyFont="1" applyBorder="1"/>
    <xf numFmtId="43" fontId="9" fillId="4" borderId="7" xfId="0" applyNumberFormat="1" applyFont="1" applyFill="1" applyBorder="1" applyAlignment="1">
      <alignment horizontal="right"/>
    </xf>
    <xf numFmtId="0" fontId="9" fillId="0" borderId="18" xfId="0" applyFont="1" applyBorder="1"/>
    <xf numFmtId="169" fontId="9" fillId="0" borderId="6" xfId="0" applyNumberFormat="1" applyFont="1" applyBorder="1"/>
    <xf numFmtId="10" fontId="9" fillId="4" borderId="7" xfId="0" applyNumberFormat="1" applyFont="1" applyFill="1" applyBorder="1"/>
    <xf numFmtId="10" fontId="9" fillId="4" borderId="12" xfId="0" applyNumberFormat="1" applyFont="1" applyFill="1" applyBorder="1"/>
    <xf numFmtId="10" fontId="13" fillId="0" borderId="0" xfId="0" applyNumberFormat="1" applyFont="1"/>
    <xf numFmtId="2" fontId="9" fillId="4" borderId="7" xfId="0" applyNumberFormat="1" applyFont="1" applyFill="1" applyBorder="1"/>
    <xf numFmtId="2" fontId="9" fillId="4" borderId="12" xfId="0" applyNumberFormat="1" applyFont="1" applyFill="1" applyBorder="1"/>
    <xf numFmtId="0" fontId="14" fillId="0" borderId="0" xfId="0" applyFont="1"/>
    <xf numFmtId="1" fontId="9" fillId="4" borderId="7" xfId="0" applyNumberFormat="1" applyFont="1" applyFill="1" applyBorder="1"/>
    <xf numFmtId="1" fontId="9" fillId="4" borderId="12" xfId="0" applyNumberFormat="1" applyFont="1" applyFill="1" applyBorder="1"/>
    <xf numFmtId="168" fontId="9" fillId="4" borderId="7" xfId="0" applyNumberFormat="1" applyFont="1" applyFill="1" applyBorder="1"/>
    <xf numFmtId="168" fontId="9" fillId="4" borderId="12" xfId="0" applyNumberFormat="1" applyFont="1" applyFill="1" applyBorder="1"/>
    <xf numFmtId="0" fontId="9" fillId="0" borderId="32" xfId="0" applyFont="1" applyBorder="1"/>
    <xf numFmtId="0" fontId="9" fillId="0" borderId="33" xfId="0" applyFont="1" applyBorder="1"/>
    <xf numFmtId="2" fontId="9" fillId="0" borderId="33" xfId="0" applyNumberFormat="1" applyFont="1" applyBorder="1"/>
    <xf numFmtId="43" fontId="9" fillId="0" borderId="33" xfId="0" applyNumberFormat="1" applyFont="1" applyBorder="1"/>
    <xf numFmtId="43" fontId="9" fillId="0" borderId="34" xfId="0" applyNumberFormat="1" applyFont="1" applyBorder="1"/>
    <xf numFmtId="0" fontId="9" fillId="0" borderId="19" xfId="0" applyFont="1" applyBorder="1"/>
    <xf numFmtId="164" fontId="9" fillId="0" borderId="19" xfId="0" applyNumberFormat="1" applyFont="1" applyBorder="1"/>
    <xf numFmtId="0" fontId="11" fillId="3" borderId="14" xfId="0" applyFont="1" applyFill="1" applyBorder="1"/>
    <xf numFmtId="3" fontId="18" fillId="0" borderId="0" xfId="0" applyNumberFormat="1" applyFont="1"/>
    <xf numFmtId="0" fontId="13" fillId="4" borderId="7" xfId="0" applyFont="1" applyFill="1" applyBorder="1"/>
    <xf numFmtId="165" fontId="9" fillId="0" borderId="36" xfId="0" applyNumberFormat="1" applyFont="1" applyBorder="1"/>
    <xf numFmtId="164" fontId="7" fillId="4" borderId="7" xfId="0" applyNumberFormat="1" applyFont="1" applyFill="1" applyBorder="1"/>
    <xf numFmtId="164" fontId="9" fillId="4" borderId="7" xfId="0" applyNumberFormat="1" applyFont="1" applyFill="1" applyBorder="1"/>
    <xf numFmtId="169" fontId="9" fillId="0" borderId="7" xfId="0" applyNumberFormat="1" applyFont="1" applyBorder="1"/>
    <xf numFmtId="0" fontId="7" fillId="5" borderId="7" xfId="0" applyFont="1" applyFill="1" applyBorder="1"/>
    <xf numFmtId="165" fontId="15" fillId="4" borderId="7" xfId="0" applyNumberFormat="1" applyFont="1" applyFill="1" applyBorder="1"/>
    <xf numFmtId="165" fontId="16" fillId="4" borderId="7" xfId="0" applyNumberFormat="1" applyFont="1" applyFill="1" applyBorder="1"/>
    <xf numFmtId="165" fontId="9" fillId="4" borderId="14" xfId="0" applyNumberFormat="1" applyFont="1" applyFill="1" applyBorder="1"/>
    <xf numFmtId="168" fontId="9" fillId="0" borderId="7" xfId="0" applyNumberFormat="1" applyFont="1" applyBorder="1"/>
    <xf numFmtId="3" fontId="18" fillId="0" borderId="7" xfId="0" applyNumberFormat="1" applyFont="1" applyBorder="1"/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1" fillId="0" borderId="37" xfId="0" applyFont="1" applyBorder="1"/>
    <xf numFmtId="0" fontId="11" fillId="0" borderId="29" xfId="0" applyFont="1" applyBorder="1"/>
    <xf numFmtId="0" fontId="10" fillId="0" borderId="0" xfId="0" applyFont="1"/>
    <xf numFmtId="0" fontId="21" fillId="0" borderId="37" xfId="0" applyFont="1" applyBorder="1"/>
    <xf numFmtId="0" fontId="11" fillId="6" borderId="14" xfId="0" applyFont="1" applyFill="1" applyBorder="1"/>
    <xf numFmtId="168" fontId="11" fillId="0" borderId="37" xfId="0" applyNumberFormat="1" applyFont="1" applyBorder="1"/>
    <xf numFmtId="168" fontId="11" fillId="0" borderId="29" xfId="0" applyNumberFormat="1" applyFont="1" applyBorder="1"/>
    <xf numFmtId="0" fontId="11" fillId="7" borderId="14" xfId="0" applyFont="1" applyFill="1" applyBorder="1"/>
    <xf numFmtId="168" fontId="11" fillId="0" borderId="37" xfId="0" applyNumberFormat="1" applyFont="1" applyBorder="1" applyAlignment="1">
      <alignment horizontal="right"/>
    </xf>
    <xf numFmtId="43" fontId="11" fillId="0" borderId="37" xfId="0" applyNumberFormat="1" applyFont="1" applyBorder="1" applyAlignment="1">
      <alignment horizontal="right"/>
    </xf>
    <xf numFmtId="0" fontId="11" fillId="8" borderId="14" xfId="0" applyFont="1" applyFill="1" applyBorder="1"/>
    <xf numFmtId="10" fontId="11" fillId="6" borderId="38" xfId="0" applyNumberFormat="1" applyFont="1" applyFill="1" applyBorder="1"/>
    <xf numFmtId="10" fontId="11" fillId="0" borderId="37" xfId="0" applyNumberFormat="1" applyFont="1" applyBorder="1"/>
    <xf numFmtId="10" fontId="11" fillId="7" borderId="38" xfId="0" applyNumberFormat="1" applyFont="1" applyFill="1" applyBorder="1"/>
    <xf numFmtId="10" fontId="11" fillId="8" borderId="38" xfId="0" applyNumberFormat="1" applyFont="1" applyFill="1" applyBorder="1"/>
    <xf numFmtId="0" fontId="11" fillId="6" borderId="38" xfId="0" applyFont="1" applyFill="1" applyBorder="1"/>
    <xf numFmtId="0" fontId="11" fillId="8" borderId="38" xfId="0" applyFont="1" applyFill="1" applyBorder="1"/>
    <xf numFmtId="43" fontId="11" fillId="0" borderId="37" xfId="0" applyNumberFormat="1" applyFont="1" applyBorder="1"/>
    <xf numFmtId="43" fontId="11" fillId="0" borderId="29" xfId="0" applyNumberFormat="1" applyFont="1" applyBorder="1"/>
    <xf numFmtId="168" fontId="10" fillId="0" borderId="37" xfId="0" applyNumberFormat="1" applyFont="1" applyBorder="1"/>
    <xf numFmtId="1" fontId="11" fillId="0" borderId="0" xfId="0" applyNumberFormat="1" applyFont="1"/>
    <xf numFmtId="2" fontId="10" fillId="8" borderId="38" xfId="0" applyNumberFormat="1" applyFont="1" applyFill="1" applyBorder="1"/>
    <xf numFmtId="2" fontId="10" fillId="0" borderId="37" xfId="0" applyNumberFormat="1" applyFont="1" applyBorder="1"/>
    <xf numFmtId="2" fontId="11" fillId="0" borderId="37" xfId="0" applyNumberFormat="1" applyFont="1" applyBorder="1"/>
    <xf numFmtId="2" fontId="11" fillId="7" borderId="38" xfId="0" applyNumberFormat="1" applyFont="1" applyFill="1" applyBorder="1"/>
    <xf numFmtId="43" fontId="11" fillId="7" borderId="38" xfId="0" applyNumberFormat="1" applyFont="1" applyFill="1" applyBorder="1"/>
    <xf numFmtId="2" fontId="11" fillId="8" borderId="38" xfId="0" applyNumberFormat="1" applyFont="1" applyFill="1" applyBorder="1"/>
    <xf numFmtId="10" fontId="10" fillId="8" borderId="38" xfId="0" applyNumberFormat="1" applyFont="1" applyFill="1" applyBorder="1"/>
    <xf numFmtId="10" fontId="10" fillId="0" borderId="37" xfId="0" applyNumberFormat="1" applyFont="1" applyBorder="1"/>
    <xf numFmtId="2" fontId="11" fillId="0" borderId="29" xfId="0" applyNumberFormat="1" applyFont="1" applyBorder="1"/>
    <xf numFmtId="43" fontId="10" fillId="8" borderId="38" xfId="0" applyNumberFormat="1" applyFont="1" applyFill="1" applyBorder="1"/>
    <xf numFmtId="43" fontId="10" fillId="6" borderId="38" xfId="0" applyNumberFormat="1" applyFont="1" applyFill="1" applyBorder="1"/>
    <xf numFmtId="43" fontId="10" fillId="0" borderId="37" xfId="0" applyNumberFormat="1" applyFont="1" applyBorder="1"/>
    <xf numFmtId="2" fontId="10" fillId="6" borderId="38" xfId="0" applyNumberFormat="1" applyFont="1" applyFill="1" applyBorder="1"/>
    <xf numFmtId="0" fontId="11" fillId="0" borderId="36" xfId="0" applyFont="1" applyBorder="1"/>
    <xf numFmtId="10" fontId="10" fillId="6" borderId="15" xfId="0" applyNumberFormat="1" applyFont="1" applyFill="1" applyBorder="1"/>
    <xf numFmtId="10" fontId="10" fillId="8" borderId="15" xfId="0" applyNumberFormat="1" applyFont="1" applyFill="1" applyBorder="1"/>
    <xf numFmtId="10" fontId="10" fillId="0" borderId="36" xfId="0" applyNumberFormat="1" applyFont="1" applyBorder="1"/>
    <xf numFmtId="170" fontId="11" fillId="0" borderId="0" xfId="0" applyNumberFormat="1" applyFont="1"/>
    <xf numFmtId="43" fontId="22" fillId="0" borderId="7" xfId="0" applyNumberFormat="1" applyFont="1" applyBorder="1" applyAlignment="1">
      <alignment horizontal="right"/>
    </xf>
    <xf numFmtId="43" fontId="9" fillId="9" borderId="7" xfId="0" applyNumberFormat="1" applyFont="1" applyFill="1" applyBorder="1" applyAlignment="1">
      <alignment horizontal="right"/>
    </xf>
    <xf numFmtId="43" fontId="22" fillId="9" borderId="7" xfId="0" applyNumberFormat="1" applyFont="1" applyFill="1" applyBorder="1" applyAlignment="1">
      <alignment horizontal="right"/>
    </xf>
    <xf numFmtId="43" fontId="7" fillId="9" borderId="7" xfId="0" applyNumberFormat="1" applyFont="1" applyFill="1" applyBorder="1"/>
    <xf numFmtId="43" fontId="22" fillId="0" borderId="19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center" vertical="top"/>
    </xf>
    <xf numFmtId="165" fontId="9" fillId="0" borderId="7" xfId="0" applyNumberFormat="1" applyFont="1" applyBorder="1" applyAlignment="1">
      <alignment horizontal="center"/>
    </xf>
    <xf numFmtId="43" fontId="7" fillId="0" borderId="21" xfId="0" applyNumberFormat="1" applyFont="1" applyBorder="1"/>
    <xf numFmtId="43" fontId="7" fillId="0" borderId="23" xfId="0" applyNumberFormat="1" applyFont="1" applyBorder="1" applyAlignment="1">
      <alignment horizontal="center"/>
    </xf>
    <xf numFmtId="0" fontId="9" fillId="0" borderId="28" xfId="0" applyFont="1" applyBorder="1"/>
    <xf numFmtId="0" fontId="9" fillId="0" borderId="29" xfId="0" applyFont="1" applyBorder="1"/>
    <xf numFmtId="165" fontId="7" fillId="9" borderId="7" xfId="0" applyNumberFormat="1" applyFont="1" applyFill="1" applyBorder="1"/>
    <xf numFmtId="10" fontId="13" fillId="9" borderId="7" xfId="0" applyNumberFormat="1" applyFont="1" applyFill="1" applyBorder="1"/>
    <xf numFmtId="167" fontId="7" fillId="9" borderId="7" xfId="0" applyNumberFormat="1" applyFont="1" applyFill="1" applyBorder="1"/>
    <xf numFmtId="10" fontId="7" fillId="9" borderId="7" xfId="0" applyNumberFormat="1" applyFont="1" applyFill="1" applyBorder="1"/>
    <xf numFmtId="0" fontId="7" fillId="9" borderId="7" xfId="0" applyFont="1" applyFill="1" applyBorder="1"/>
    <xf numFmtId="165" fontId="7" fillId="9" borderId="19" xfId="0" applyNumberFormat="1" applyFont="1" applyFill="1" applyBorder="1"/>
    <xf numFmtId="165" fontId="9" fillId="9" borderId="7" xfId="0" applyNumberFormat="1" applyFont="1" applyFill="1" applyBorder="1"/>
    <xf numFmtId="0" fontId="0" fillId="9" borderId="0" xfId="0" applyFill="1"/>
    <xf numFmtId="0" fontId="4" fillId="0" borderId="5" xfId="0" applyFont="1" applyBorder="1"/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40" xfId="0" applyFont="1" applyBorder="1"/>
    <xf numFmtId="164" fontId="9" fillId="0" borderId="7" xfId="0" applyNumberFormat="1" applyFont="1" applyBorder="1" applyAlignment="1">
      <alignment horizontal="right"/>
    </xf>
    <xf numFmtId="0" fontId="8" fillId="0" borderId="31" xfId="0" applyFont="1" applyBorder="1" applyAlignment="1">
      <alignment horizontal="center"/>
    </xf>
    <xf numFmtId="164" fontId="9" fillId="0" borderId="35" xfId="0" applyNumberFormat="1" applyFont="1" applyBorder="1"/>
    <xf numFmtId="165" fontId="9" fillId="0" borderId="35" xfId="0" applyNumberFormat="1" applyFont="1" applyBorder="1"/>
    <xf numFmtId="0" fontId="7" fillId="0" borderId="42" xfId="0" applyFont="1" applyBorder="1" applyAlignment="1">
      <alignment horizontal="center"/>
    </xf>
    <xf numFmtId="0" fontId="9" fillId="0" borderId="43" xfId="0" applyFont="1" applyBorder="1"/>
    <xf numFmtId="0" fontId="2" fillId="0" borderId="0" xfId="0" applyFont="1"/>
    <xf numFmtId="10" fontId="22" fillId="9" borderId="7" xfId="1" applyNumberFormat="1" applyFont="1" applyFill="1" applyBorder="1" applyAlignment="1">
      <alignment horizontal="right"/>
    </xf>
    <xf numFmtId="0" fontId="24" fillId="0" borderId="14" xfId="0" applyFont="1" applyBorder="1"/>
    <xf numFmtId="0" fontId="25" fillId="0" borderId="25" xfId="0" applyFont="1" applyBorder="1" applyAlignment="1">
      <alignment horizontal="right"/>
    </xf>
    <xf numFmtId="164" fontId="26" fillId="0" borderId="25" xfId="0" applyNumberFormat="1" applyFont="1" applyBorder="1"/>
    <xf numFmtId="165" fontId="25" fillId="9" borderId="25" xfId="0" applyNumberFormat="1" applyFont="1" applyFill="1" applyBorder="1"/>
    <xf numFmtId="165" fontId="25" fillId="4" borderId="25" xfId="0" applyNumberFormat="1" applyFont="1" applyFill="1" applyBorder="1"/>
    <xf numFmtId="0" fontId="26" fillId="0" borderId="25" xfId="0" applyFont="1" applyBorder="1"/>
    <xf numFmtId="164" fontId="26" fillId="0" borderId="25" xfId="0" applyNumberFormat="1" applyFont="1" applyBorder="1" applyAlignment="1">
      <alignment horizontal="right"/>
    </xf>
    <xf numFmtId="164" fontId="26" fillId="3" borderId="25" xfId="0" applyNumberFormat="1" applyFont="1" applyFill="1" applyBorder="1"/>
    <xf numFmtId="165" fontId="25" fillId="4" borderId="39" xfId="0" applyNumberFormat="1" applyFont="1" applyFill="1" applyBorder="1"/>
    <xf numFmtId="0" fontId="26" fillId="0" borderId="0" xfId="0" applyFont="1"/>
    <xf numFmtId="0" fontId="25" fillId="0" borderId="4" xfId="0" applyFont="1" applyBorder="1" applyAlignment="1">
      <alignment horizontal="center"/>
    </xf>
    <xf numFmtId="43" fontId="25" fillId="0" borderId="9" xfId="0" applyNumberFormat="1" applyFont="1" applyBorder="1"/>
    <xf numFmtId="43" fontId="26" fillId="9" borderId="9" xfId="0" applyNumberFormat="1" applyFont="1" applyFill="1" applyBorder="1" applyAlignment="1">
      <alignment horizontal="right"/>
    </xf>
    <xf numFmtId="43" fontId="26" fillId="0" borderId="9" xfId="0" applyNumberFormat="1" applyFont="1" applyBorder="1" applyAlignment="1">
      <alignment horizontal="right"/>
    </xf>
    <xf numFmtId="10" fontId="26" fillId="9" borderId="9" xfId="1" applyNumberFormat="1" applyFont="1" applyFill="1" applyBorder="1" applyAlignment="1">
      <alignment horizontal="right"/>
    </xf>
    <xf numFmtId="0" fontId="24" fillId="0" borderId="0" xfId="0" applyFont="1"/>
    <xf numFmtId="0" fontId="27" fillId="0" borderId="14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165" fontId="25" fillId="9" borderId="9" xfId="0" applyNumberFormat="1" applyFont="1" applyFill="1" applyBorder="1"/>
    <xf numFmtId="10" fontId="28" fillId="9" borderId="7" xfId="0" applyNumberFormat="1" applyFont="1" applyFill="1" applyBorder="1"/>
    <xf numFmtId="43" fontId="25" fillId="9" borderId="9" xfId="0" applyNumberFormat="1" applyFont="1" applyFill="1" applyBorder="1"/>
    <xf numFmtId="0" fontId="26" fillId="0" borderId="9" xfId="0" applyFont="1" applyBorder="1"/>
    <xf numFmtId="10" fontId="25" fillId="9" borderId="9" xfId="0" applyNumberFormat="1" applyFont="1" applyFill="1" applyBorder="1"/>
    <xf numFmtId="10" fontId="28" fillId="9" borderId="9" xfId="0" applyNumberFormat="1" applyFont="1" applyFill="1" applyBorder="1"/>
    <xf numFmtId="0" fontId="25" fillId="9" borderId="9" xfId="0" applyFont="1" applyFill="1" applyBorder="1"/>
    <xf numFmtId="43" fontId="25" fillId="0" borderId="19" xfId="0" applyNumberFormat="1" applyFont="1" applyBorder="1"/>
    <xf numFmtId="0" fontId="25" fillId="0" borderId="0" xfId="0" applyFont="1"/>
    <xf numFmtId="43" fontId="25" fillId="0" borderId="4" xfId="0" applyNumberFormat="1" applyFont="1" applyBorder="1" applyAlignment="1">
      <alignment horizontal="center"/>
    </xf>
    <xf numFmtId="165" fontId="26" fillId="0" borderId="25" xfId="0" applyNumberFormat="1" applyFont="1" applyBorder="1"/>
    <xf numFmtId="164" fontId="26" fillId="0" borderId="35" xfId="0" applyNumberFormat="1" applyFont="1" applyBorder="1"/>
    <xf numFmtId="165" fontId="25" fillId="9" borderId="39" xfId="0" applyNumberFormat="1" applyFont="1" applyFill="1" applyBorder="1"/>
    <xf numFmtId="0" fontId="26" fillId="0" borderId="29" xfId="0" applyFont="1" applyBorder="1"/>
    <xf numFmtId="0" fontId="26" fillId="0" borderId="14" xfId="0" applyFont="1" applyBorder="1"/>
    <xf numFmtId="3" fontId="26" fillId="0" borderId="4" xfId="0" applyNumberFormat="1" applyFont="1" applyBorder="1"/>
    <xf numFmtId="165" fontId="26" fillId="9" borderId="25" xfId="0" applyNumberFormat="1" applyFont="1" applyFill="1" applyBorder="1"/>
    <xf numFmtId="165" fontId="26" fillId="9" borderId="7" xfId="0" applyNumberFormat="1" applyFont="1" applyFill="1" applyBorder="1"/>
    <xf numFmtId="165" fontId="25" fillId="9" borderId="41" xfId="0" applyNumberFormat="1" applyFont="1" applyFill="1" applyBorder="1"/>
    <xf numFmtId="165" fontId="26" fillId="0" borderId="0" xfId="0" applyNumberFormat="1" applyFont="1"/>
    <xf numFmtId="43" fontId="25" fillId="0" borderId="0" xfId="0" applyNumberFormat="1" applyFont="1"/>
    <xf numFmtId="10" fontId="26" fillId="0" borderId="0" xfId="0" applyNumberFormat="1" applyFont="1"/>
    <xf numFmtId="10" fontId="28" fillId="0" borderId="0" xfId="0" applyNumberFormat="1" applyFont="1"/>
    <xf numFmtId="0" fontId="25" fillId="0" borderId="0" xfId="0" applyFont="1" applyAlignment="1">
      <alignment horizontal="center"/>
    </xf>
    <xf numFmtId="165" fontId="25" fillId="0" borderId="0" xfId="0" applyNumberFormat="1" applyFont="1"/>
    <xf numFmtId="166" fontId="26" fillId="0" borderId="0" xfId="0" applyNumberFormat="1" applyFont="1"/>
    <xf numFmtId="3" fontId="29" fillId="0" borderId="0" xfId="0" applyNumberFormat="1" applyFont="1"/>
    <xf numFmtId="43" fontId="0" fillId="9" borderId="0" xfId="0" applyNumberFormat="1" applyFill="1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9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35" xfId="0" applyFont="1" applyBorder="1"/>
    <xf numFmtId="0" fontId="20" fillId="0" borderId="31" xfId="0" applyFont="1" applyBorder="1" applyAlignment="1">
      <alignment horizontal="center"/>
    </xf>
    <xf numFmtId="0" fontId="4" fillId="0" borderId="5" xfId="0" applyFont="1" applyBorder="1"/>
    <xf numFmtId="0" fontId="10" fillId="0" borderId="8" xfId="0" applyFont="1" applyBorder="1" applyAlignment="1">
      <alignment horizontal="center"/>
    </xf>
    <xf numFmtId="0" fontId="9" fillId="10" borderId="0" xfId="0" applyFont="1" applyFill="1"/>
    <xf numFmtId="165" fontId="26" fillId="10" borderId="9" xfId="0" applyNumberFormat="1" applyFont="1" applyFill="1" applyBorder="1"/>
    <xf numFmtId="0" fontId="26" fillId="10" borderId="9" xfId="0" applyFont="1" applyFill="1" applyBorder="1"/>
    <xf numFmtId="165" fontId="26" fillId="10" borderId="9" xfId="0" applyNumberFormat="1" applyFont="1" applyFill="1" applyBorder="1" applyAlignment="1">
      <alignment horizontal="center" vertical="top"/>
    </xf>
    <xf numFmtId="165" fontId="26" fillId="10" borderId="9" xfId="0" applyNumberFormat="1" applyFont="1" applyFill="1" applyBorder="1" applyAlignment="1">
      <alignment horizontal="center"/>
    </xf>
    <xf numFmtId="0" fontId="25" fillId="10" borderId="9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topLeftCell="L48" zoomScaleNormal="100" workbookViewId="0">
      <selection activeCell="AC70" sqref="AC70"/>
    </sheetView>
  </sheetViews>
  <sheetFormatPr defaultColWidth="14.453125" defaultRowHeight="15" customHeight="1"/>
  <cols>
    <col min="1" max="1" width="64.453125" bestFit="1" customWidth="1"/>
    <col min="2" max="2" width="8.453125" hidden="1" customWidth="1"/>
    <col min="3" max="3" width="10.1796875" hidden="1" customWidth="1"/>
    <col min="4" max="6" width="12.453125" hidden="1" customWidth="1"/>
    <col min="7" max="13" width="11.26953125" bestFit="1" customWidth="1"/>
    <col min="14" max="14" width="12" style="231" customWidth="1"/>
    <col min="15" max="15" width="12.1796875" customWidth="1"/>
    <col min="16" max="16" width="1.81640625" customWidth="1"/>
    <col min="17" max="17" width="42.54296875" customWidth="1"/>
    <col min="18" max="18" width="13.81640625" hidden="1" customWidth="1"/>
    <col min="19" max="19" width="10.453125" hidden="1" customWidth="1"/>
    <col min="20" max="20" width="13" hidden="1" customWidth="1"/>
    <col min="21" max="22" width="11.453125" hidden="1" customWidth="1"/>
    <col min="23" max="26" width="8" bestFit="1" customWidth="1"/>
    <col min="27" max="27" width="7.7265625" bestFit="1" customWidth="1"/>
    <col min="28" max="29" width="8.7265625" bestFit="1" customWidth="1"/>
    <col min="30" max="30" width="14.453125" style="231"/>
  </cols>
  <sheetData>
    <row r="1" spans="1:30" ht="15" customHeight="1">
      <c r="A1" s="263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</row>
    <row r="2" spans="1:30" ht="14.25" customHeight="1">
      <c r="A2" s="205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32"/>
      <c r="O2" s="1"/>
      <c r="P2" s="2"/>
      <c r="Q2" s="209" t="s">
        <v>2</v>
      </c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7"/>
      <c r="AD2" s="216"/>
    </row>
    <row r="3" spans="1:30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4" t="s">
        <v>259</v>
      </c>
      <c r="N3" s="233" t="s">
        <v>267</v>
      </c>
      <c r="O3" s="6"/>
      <c r="P3" s="2"/>
      <c r="Q3" s="3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8" t="s">
        <v>8</v>
      </c>
      <c r="W3" s="7" t="s">
        <v>9</v>
      </c>
      <c r="X3" s="9" t="s">
        <v>10</v>
      </c>
      <c r="Y3" s="9" t="s">
        <v>11</v>
      </c>
      <c r="Z3" s="10" t="s">
        <v>12</v>
      </c>
      <c r="AA3" s="7" t="s">
        <v>13</v>
      </c>
      <c r="AB3" s="11" t="s">
        <v>14</v>
      </c>
      <c r="AC3" s="7" t="s">
        <v>259</v>
      </c>
      <c r="AD3" s="217" t="s">
        <v>265</v>
      </c>
    </row>
    <row r="4" spans="1:30" ht="12" customHeight="1">
      <c r="A4" s="3" t="s">
        <v>15</v>
      </c>
      <c r="B4" s="12"/>
      <c r="C4" s="12"/>
      <c r="D4" s="13">
        <v>8745.19</v>
      </c>
      <c r="E4" s="13">
        <v>8398.86</v>
      </c>
      <c r="F4" s="13">
        <v>3946.92</v>
      </c>
      <c r="G4" s="13">
        <v>3943.56</v>
      </c>
      <c r="H4" s="13">
        <v>3423.42</v>
      </c>
      <c r="I4" s="13">
        <v>2616.6</v>
      </c>
      <c r="J4" s="13">
        <f>4068.36+62.59</f>
        <v>4130.95</v>
      </c>
      <c r="K4" s="14">
        <f>3768.55+63.27</f>
        <v>3831.82</v>
      </c>
      <c r="L4" s="13">
        <f>888.64+211.94</f>
        <v>1100.58</v>
      </c>
      <c r="M4" s="13">
        <f>1203.37+15.51</f>
        <v>1218.8799999999999</v>
      </c>
      <c r="N4" s="273">
        <f>321.77+2.8</f>
        <v>324.57</v>
      </c>
      <c r="O4" s="6"/>
      <c r="P4" s="15"/>
      <c r="Q4" s="16" t="s">
        <v>16</v>
      </c>
      <c r="R4" s="13"/>
      <c r="S4" s="13"/>
      <c r="T4" s="17">
        <v>111.69</v>
      </c>
      <c r="U4" s="13">
        <v>111.69</v>
      </c>
      <c r="V4" s="13">
        <v>111.69</v>
      </c>
      <c r="W4" s="13">
        <v>111.69</v>
      </c>
      <c r="X4" s="13">
        <v>111.69</v>
      </c>
      <c r="Y4" s="13">
        <v>111.69</v>
      </c>
      <c r="Z4" s="14">
        <v>111.69</v>
      </c>
      <c r="AA4" s="18">
        <v>111.69</v>
      </c>
      <c r="AB4" s="19">
        <v>111.69</v>
      </c>
      <c r="AC4" s="63">
        <v>111.69</v>
      </c>
      <c r="AD4" s="218">
        <v>111.69</v>
      </c>
    </row>
    <row r="5" spans="1:30" ht="12" customHeight="1">
      <c r="A5" s="16" t="s">
        <v>17</v>
      </c>
      <c r="B5" s="13"/>
      <c r="C5" s="13"/>
      <c r="D5" s="13">
        <v>55.4</v>
      </c>
      <c r="E5" s="13">
        <v>74.38</v>
      </c>
      <c r="F5" s="13">
        <v>45.7</v>
      </c>
      <c r="G5" s="13">
        <v>109.78</v>
      </c>
      <c r="H5" s="13">
        <v>35.21</v>
      </c>
      <c r="I5" s="20">
        <v>61.6</v>
      </c>
      <c r="J5" s="13">
        <v>43.06</v>
      </c>
      <c r="K5" s="14">
        <v>24.58</v>
      </c>
      <c r="L5" s="13">
        <v>48.13</v>
      </c>
      <c r="M5" s="13">
        <v>38.450000000000003</v>
      </c>
      <c r="N5" s="274">
        <v>36.4</v>
      </c>
      <c r="O5" s="6"/>
      <c r="P5" s="6"/>
      <c r="Q5" s="16" t="s">
        <v>18</v>
      </c>
      <c r="R5" s="13"/>
      <c r="S5" s="13"/>
      <c r="T5" s="17">
        <v>2252.06</v>
      </c>
      <c r="U5" s="13">
        <v>2370.17</v>
      </c>
      <c r="V5" s="13">
        <v>2636.2</v>
      </c>
      <c r="W5" s="13">
        <v>3182.4</v>
      </c>
      <c r="X5" s="13">
        <v>3367.8</v>
      </c>
      <c r="Y5" s="13">
        <v>3392.67</v>
      </c>
      <c r="Z5" s="14">
        <v>3607.13</v>
      </c>
      <c r="AA5" s="18">
        <v>3775.14</v>
      </c>
      <c r="AB5" s="19">
        <v>3867.44</v>
      </c>
      <c r="AC5" s="63">
        <v>3728.57</v>
      </c>
      <c r="AD5" s="218">
        <v>3667.73</v>
      </c>
    </row>
    <row r="6" spans="1:30" ht="12" customHeight="1">
      <c r="A6" s="21" t="s">
        <v>19</v>
      </c>
      <c r="B6" s="22">
        <f t="shared" ref="B6:M6" si="0">B4+B5</f>
        <v>0</v>
      </c>
      <c r="C6" s="22">
        <f t="shared" si="0"/>
        <v>0</v>
      </c>
      <c r="D6" s="22">
        <f t="shared" si="0"/>
        <v>8800.59</v>
      </c>
      <c r="E6" s="22">
        <f t="shared" si="0"/>
        <v>8473.24</v>
      </c>
      <c r="F6" s="22">
        <f t="shared" si="0"/>
        <v>3992.62</v>
      </c>
      <c r="G6" s="22">
        <f t="shared" si="0"/>
        <v>4053.34</v>
      </c>
      <c r="H6" s="22">
        <f t="shared" si="0"/>
        <v>3458.63</v>
      </c>
      <c r="I6" s="22">
        <f t="shared" si="0"/>
        <v>2678.2</v>
      </c>
      <c r="J6" s="22">
        <f t="shared" si="0"/>
        <v>4174.01</v>
      </c>
      <c r="K6" s="23">
        <f t="shared" si="0"/>
        <v>3856.4</v>
      </c>
      <c r="L6" s="196">
        <f t="shared" si="0"/>
        <v>1148.71</v>
      </c>
      <c r="M6" s="196">
        <f t="shared" si="0"/>
        <v>1257.33</v>
      </c>
      <c r="N6" s="234">
        <f>N4+N5</f>
        <v>360.96999999999997</v>
      </c>
      <c r="O6" s="6"/>
      <c r="P6" s="24"/>
      <c r="Q6" s="21" t="s">
        <v>20</v>
      </c>
      <c r="R6" s="22">
        <f t="shared" ref="R6:AD6" si="1">(R4+R5)</f>
        <v>0</v>
      </c>
      <c r="S6" s="22">
        <f t="shared" si="1"/>
        <v>0</v>
      </c>
      <c r="T6" s="22">
        <f t="shared" si="1"/>
        <v>2363.75</v>
      </c>
      <c r="U6" s="22">
        <f t="shared" si="1"/>
        <v>2481.86</v>
      </c>
      <c r="V6" s="22">
        <f t="shared" si="1"/>
        <v>2747.89</v>
      </c>
      <c r="W6" s="22">
        <f t="shared" si="1"/>
        <v>3294.09</v>
      </c>
      <c r="X6" s="22">
        <f t="shared" si="1"/>
        <v>3479.4900000000002</v>
      </c>
      <c r="Y6" s="22">
        <f t="shared" si="1"/>
        <v>3504.36</v>
      </c>
      <c r="Z6" s="23">
        <f t="shared" si="1"/>
        <v>3718.82</v>
      </c>
      <c r="AA6" s="22">
        <f t="shared" si="1"/>
        <v>3886.83</v>
      </c>
      <c r="AB6" s="25">
        <f t="shared" si="1"/>
        <v>3979.13</v>
      </c>
      <c r="AC6" s="196">
        <f t="shared" si="1"/>
        <v>3840.26</v>
      </c>
      <c r="AD6" s="219">
        <f t="shared" si="1"/>
        <v>3779.42</v>
      </c>
    </row>
    <row r="7" spans="1:30" ht="12" customHeight="1">
      <c r="A7" s="26" t="s">
        <v>21</v>
      </c>
      <c r="B7" s="27"/>
      <c r="C7" s="27" t="e">
        <f>(C6/B6-1)</f>
        <v>#DIV/0!</v>
      </c>
      <c r="D7" s="27" t="s">
        <v>22</v>
      </c>
      <c r="E7" s="27">
        <f t="shared" ref="E7:M7" si="2">(E6/D6-1)</f>
        <v>-3.7196369788843775E-2</v>
      </c>
      <c r="F7" s="27">
        <f t="shared" si="2"/>
        <v>-0.52879654063852788</v>
      </c>
      <c r="G7" s="27">
        <f t="shared" si="2"/>
        <v>1.5208058868612762E-2</v>
      </c>
      <c r="H7" s="27">
        <f t="shared" si="2"/>
        <v>-0.1467209757878688</v>
      </c>
      <c r="I7" s="27">
        <f t="shared" si="2"/>
        <v>-0.22564714930478258</v>
      </c>
      <c r="J7" s="27">
        <f t="shared" si="2"/>
        <v>0.55851318049436216</v>
      </c>
      <c r="K7" s="28">
        <f t="shared" si="2"/>
        <v>-7.6092294939398841E-2</v>
      </c>
      <c r="L7" s="197">
        <f t="shared" si="2"/>
        <v>-0.70212892853438436</v>
      </c>
      <c r="M7" s="197">
        <f t="shared" si="2"/>
        <v>9.4558243594988989E-2</v>
      </c>
      <c r="N7" s="235"/>
      <c r="O7" s="6"/>
      <c r="P7" s="6"/>
      <c r="Q7" s="16" t="s">
        <v>23</v>
      </c>
      <c r="R7" s="13"/>
      <c r="S7" s="13"/>
      <c r="T7" s="13"/>
      <c r="U7" s="13"/>
      <c r="V7" s="14"/>
      <c r="W7" s="13"/>
      <c r="X7" s="13">
        <v>132.09</v>
      </c>
      <c r="Y7" s="13">
        <v>143.03</v>
      </c>
      <c r="Z7" s="14">
        <v>158.03</v>
      </c>
      <c r="AA7" s="18">
        <v>152.12</v>
      </c>
      <c r="AB7" s="19">
        <v>115.57</v>
      </c>
      <c r="AC7" s="63">
        <v>48.01</v>
      </c>
      <c r="AD7" s="218">
        <v>17.82</v>
      </c>
    </row>
    <row r="8" spans="1:30" ht="12" customHeight="1">
      <c r="A8" s="26" t="s">
        <v>24</v>
      </c>
      <c r="B8" s="27"/>
      <c r="C8" s="27"/>
      <c r="D8" s="27"/>
      <c r="E8" s="27"/>
      <c r="F8" s="27"/>
      <c r="G8" s="27">
        <f t="shared" ref="G8:M8" si="3">+((G6/D6)^(1/3)-1)</f>
        <v>-0.22773370291672612</v>
      </c>
      <c r="H8" s="27">
        <f t="shared" si="3"/>
        <v>-0.25820335376954906</v>
      </c>
      <c r="I8" s="27">
        <f t="shared" si="3"/>
        <v>-0.12462324659653456</v>
      </c>
      <c r="J8" s="27">
        <f t="shared" si="3"/>
        <v>9.826624570203224E-3</v>
      </c>
      <c r="K8" s="28">
        <f t="shared" si="3"/>
        <v>3.6953599147127703E-2</v>
      </c>
      <c r="L8" s="197">
        <f t="shared" si="3"/>
        <v>-0.24585336303674554</v>
      </c>
      <c r="M8" s="197">
        <f t="shared" si="3"/>
        <v>-0.32965465548542472</v>
      </c>
      <c r="N8" s="235"/>
      <c r="O8" s="6"/>
      <c r="P8" s="6"/>
      <c r="Q8" s="16" t="s">
        <v>25</v>
      </c>
      <c r="R8" s="13"/>
      <c r="S8" s="13"/>
      <c r="T8" s="20">
        <v>3283.03</v>
      </c>
      <c r="U8" s="13">
        <v>3125.95</v>
      </c>
      <c r="V8" s="13">
        <v>2392.42</v>
      </c>
      <c r="W8" s="13">
        <v>701.58</v>
      </c>
      <c r="X8" s="13">
        <v>549.91999999999996</v>
      </c>
      <c r="Y8" s="13">
        <v>864.97</v>
      </c>
      <c r="Z8" s="14">
        <v>381.82</v>
      </c>
      <c r="AA8" s="18">
        <v>399.09</v>
      </c>
      <c r="AB8" s="19">
        <v>2355.7399999999998</v>
      </c>
      <c r="AC8" s="63">
        <v>3708.6</v>
      </c>
      <c r="AD8" s="218">
        <v>3598.4</v>
      </c>
    </row>
    <row r="9" spans="1:30" ht="12" customHeight="1">
      <c r="A9" s="21" t="s">
        <v>26</v>
      </c>
      <c r="B9" s="22">
        <f t="shared" ref="B9:H9" si="4">SUM(B10:B15)</f>
        <v>0</v>
      </c>
      <c r="C9" s="22">
        <f t="shared" si="4"/>
        <v>0</v>
      </c>
      <c r="D9" s="22">
        <f t="shared" si="4"/>
        <v>8072.3799999999992</v>
      </c>
      <c r="E9" s="22">
        <f t="shared" si="4"/>
        <v>7468.55</v>
      </c>
      <c r="F9" s="22">
        <f t="shared" si="4"/>
        <v>3141.44</v>
      </c>
      <c r="G9" s="22">
        <f t="shared" si="4"/>
        <v>2992.4100000000003</v>
      </c>
      <c r="H9" s="22">
        <f t="shared" si="4"/>
        <v>2858.5700000000006</v>
      </c>
      <c r="I9" s="22">
        <v>2392.9</v>
      </c>
      <c r="J9" s="22">
        <f>SUM(J10:J15)</f>
        <v>3686.4399999999996</v>
      </c>
      <c r="K9" s="23">
        <f>SUM(K10:K15)</f>
        <v>3263.0999999999995</v>
      </c>
      <c r="L9" s="198">
        <f>SUM(L10:L14)</f>
        <v>857.88</v>
      </c>
      <c r="M9" s="198">
        <f>SUM(M10:M14)</f>
        <v>1189.29</v>
      </c>
      <c r="N9" s="236">
        <f>SUM(N10:N14)</f>
        <v>523.65</v>
      </c>
      <c r="O9" s="6"/>
      <c r="P9" s="6"/>
      <c r="Q9" s="16" t="s">
        <v>27</v>
      </c>
      <c r="R9" s="13"/>
      <c r="S9" s="13"/>
      <c r="T9" s="13">
        <v>1419.21</v>
      </c>
      <c r="U9" s="13">
        <v>1587.85</v>
      </c>
      <c r="V9" s="13">
        <v>1462.57</v>
      </c>
      <c r="W9" s="13">
        <v>200.44</v>
      </c>
      <c r="X9" s="13">
        <v>33.840000000000003</v>
      </c>
      <c r="Y9" s="13">
        <v>8.48</v>
      </c>
      <c r="Z9" s="14">
        <v>933.74</v>
      </c>
      <c r="AA9" s="18">
        <v>638.62</v>
      </c>
      <c r="AB9" s="19">
        <v>125.8</v>
      </c>
      <c r="AC9" s="63">
        <v>1287.94</v>
      </c>
      <c r="AD9" s="218">
        <v>1891.51</v>
      </c>
    </row>
    <row r="10" spans="1:30" ht="12" customHeight="1">
      <c r="A10" s="16" t="s">
        <v>33</v>
      </c>
      <c r="B10" s="29"/>
      <c r="C10" s="29"/>
      <c r="D10" s="29">
        <v>2711.57</v>
      </c>
      <c r="E10" s="29">
        <v>2428.5300000000002</v>
      </c>
      <c r="F10" s="29">
        <v>1695.56</v>
      </c>
      <c r="G10" s="29">
        <v>1864.81</v>
      </c>
      <c r="H10" s="29">
        <v>1755.42</v>
      </c>
      <c r="I10" s="29">
        <v>1317.51</v>
      </c>
      <c r="J10" s="29">
        <v>2276.31</v>
      </c>
      <c r="K10" s="30">
        <v>2145.02</v>
      </c>
      <c r="L10" s="29">
        <v>508.91</v>
      </c>
      <c r="M10" s="29">
        <v>739.92</v>
      </c>
      <c r="N10" s="274">
        <v>138.99</v>
      </c>
      <c r="O10" s="6"/>
      <c r="P10" s="6"/>
      <c r="Q10" s="21" t="s">
        <v>28</v>
      </c>
      <c r="R10" s="22">
        <f t="shared" ref="R10:AC10" si="5">(R8+R9)</f>
        <v>0</v>
      </c>
      <c r="S10" s="22">
        <f t="shared" si="5"/>
        <v>0</v>
      </c>
      <c r="T10" s="22">
        <f t="shared" si="5"/>
        <v>4702.24</v>
      </c>
      <c r="U10" s="22">
        <f t="shared" si="5"/>
        <v>4713.7999999999993</v>
      </c>
      <c r="V10" s="22">
        <f t="shared" si="5"/>
        <v>3854.99</v>
      </c>
      <c r="W10" s="22">
        <f t="shared" si="5"/>
        <v>902.02</v>
      </c>
      <c r="X10" s="22">
        <f t="shared" si="5"/>
        <v>583.76</v>
      </c>
      <c r="Y10" s="22">
        <f t="shared" si="5"/>
        <v>873.45</v>
      </c>
      <c r="Z10" s="23">
        <f t="shared" si="5"/>
        <v>1315.56</v>
      </c>
      <c r="AA10" s="22">
        <f t="shared" si="5"/>
        <v>1037.71</v>
      </c>
      <c r="AB10" s="25">
        <f t="shared" si="5"/>
        <v>2481.54</v>
      </c>
      <c r="AC10" s="22">
        <f t="shared" si="5"/>
        <v>4996.54</v>
      </c>
      <c r="AD10" s="220">
        <f t="shared" ref="AD10" si="6">(AD8+AD9)</f>
        <v>5489.91</v>
      </c>
    </row>
    <row r="11" spans="1:30" ht="12" customHeight="1">
      <c r="A11" s="16" t="s">
        <v>29</v>
      </c>
      <c r="B11" s="29"/>
      <c r="C11" s="29"/>
      <c r="D11" s="29">
        <v>9.32</v>
      </c>
      <c r="E11" s="29">
        <v>0.68</v>
      </c>
      <c r="F11" s="29">
        <v>2.69</v>
      </c>
      <c r="G11" s="29">
        <v>11.72</v>
      </c>
      <c r="H11" s="29">
        <v>48.22</v>
      </c>
      <c r="I11" s="29">
        <v>79.47</v>
      </c>
      <c r="J11" s="29">
        <v>223.58</v>
      </c>
      <c r="K11" s="30">
        <v>2.99</v>
      </c>
      <c r="L11" s="29" t="s">
        <v>34</v>
      </c>
      <c r="M11" s="29" t="s">
        <v>34</v>
      </c>
      <c r="N11" s="275" t="s">
        <v>34</v>
      </c>
      <c r="O11" s="6"/>
      <c r="P11" s="6"/>
      <c r="Q11" s="21" t="s">
        <v>30</v>
      </c>
      <c r="R11" s="22">
        <f>(R6+R8+R7+R56+R53+R54)</f>
        <v>0</v>
      </c>
      <c r="S11" s="22">
        <f>(S6+S8+S7+S56+S53+S54)</f>
        <v>0</v>
      </c>
      <c r="T11" s="22">
        <f t="shared" ref="T11:U11" si="7">T6+T10+T7</f>
        <v>7065.99</v>
      </c>
      <c r="U11" s="22">
        <f t="shared" si="7"/>
        <v>7195.66</v>
      </c>
      <c r="V11" s="22">
        <f t="shared" ref="V11:AC11" si="8">V6+V8+V7+SUM(V53:V57)</f>
        <v>6275.4599999999991</v>
      </c>
      <c r="W11" s="22">
        <f t="shared" si="8"/>
        <v>4880.76</v>
      </c>
      <c r="X11" s="22">
        <f t="shared" si="8"/>
        <v>4866.01</v>
      </c>
      <c r="Y11" s="22">
        <f t="shared" si="8"/>
        <v>5202.37</v>
      </c>
      <c r="Z11" s="23">
        <f t="shared" si="8"/>
        <v>4897.0300000000007</v>
      </c>
      <c r="AA11" s="22">
        <f t="shared" si="8"/>
        <v>5072.82</v>
      </c>
      <c r="AB11" s="25">
        <f t="shared" si="8"/>
        <v>7008.41</v>
      </c>
      <c r="AC11" s="22">
        <f t="shared" si="8"/>
        <v>8116.1600000000008</v>
      </c>
      <c r="AD11" s="220">
        <f t="shared" ref="AD11" si="9">AD6+AD8+AD7+SUM(AD53:AD57)</f>
        <v>7942.9699999999993</v>
      </c>
    </row>
    <row r="12" spans="1:30" ht="12" customHeight="1">
      <c r="A12" s="16" t="s">
        <v>31</v>
      </c>
      <c r="B12" s="29"/>
      <c r="C12" s="29"/>
      <c r="D12" s="29">
        <v>51.72</v>
      </c>
      <c r="E12" s="29">
        <v>77.45</v>
      </c>
      <c r="F12" s="29">
        <v>-24.6</v>
      </c>
      <c r="G12" s="29">
        <v>-10.78</v>
      </c>
      <c r="H12" s="29">
        <v>-35.340000000000003</v>
      </c>
      <c r="I12" s="29">
        <v>46.17</v>
      </c>
      <c r="J12" s="29">
        <v>-58.1</v>
      </c>
      <c r="K12" s="30">
        <v>-95.8</v>
      </c>
      <c r="L12" s="29">
        <v>-1.79</v>
      </c>
      <c r="M12" s="29">
        <v>2.08</v>
      </c>
      <c r="N12" s="275">
        <v>-1.0900000000000001</v>
      </c>
      <c r="O12" s="6"/>
      <c r="P12" s="6"/>
      <c r="Q12" s="3"/>
      <c r="R12" s="12"/>
      <c r="S12" s="12"/>
      <c r="T12" s="12"/>
      <c r="U12" s="12"/>
      <c r="V12" s="12"/>
      <c r="W12" s="12"/>
      <c r="X12" s="12"/>
      <c r="Y12" s="12"/>
      <c r="Z12" s="32"/>
      <c r="AA12" s="29"/>
      <c r="AB12" s="33"/>
      <c r="AC12" s="29"/>
      <c r="AD12" s="221"/>
    </row>
    <row r="13" spans="1:30" ht="12" customHeight="1">
      <c r="A13" s="16" t="s">
        <v>32</v>
      </c>
      <c r="B13" s="29"/>
      <c r="C13" s="29"/>
      <c r="D13" s="29">
        <v>646.37</v>
      </c>
      <c r="E13" s="29">
        <v>637.16999999999996</v>
      </c>
      <c r="F13" s="29">
        <v>412.39</v>
      </c>
      <c r="G13" s="29">
        <v>275.58999999999997</v>
      </c>
      <c r="H13" s="29">
        <v>302.01</v>
      </c>
      <c r="I13" s="29">
        <v>281.24</v>
      </c>
      <c r="J13" s="29">
        <v>323.64</v>
      </c>
      <c r="K13" s="30">
        <v>269.43</v>
      </c>
      <c r="L13" s="29">
        <v>140.26</v>
      </c>
      <c r="M13" s="29">
        <v>171.54</v>
      </c>
      <c r="N13" s="275">
        <v>169.66</v>
      </c>
      <c r="O13" s="6"/>
      <c r="P13" s="6"/>
      <c r="Q13" s="16"/>
      <c r="R13" s="13"/>
      <c r="S13" s="13"/>
      <c r="T13" s="13">
        <f t="shared" ref="T13:U13" si="10">T11-T12</f>
        <v>7065.99</v>
      </c>
      <c r="U13" s="13">
        <f t="shared" si="10"/>
        <v>7195.66</v>
      </c>
      <c r="V13" s="13"/>
      <c r="W13" s="13"/>
      <c r="X13" s="34"/>
      <c r="Y13" s="34"/>
      <c r="Z13" s="35"/>
      <c r="AA13" s="29"/>
      <c r="AB13" s="33"/>
      <c r="AC13" s="29"/>
      <c r="AD13" s="221"/>
    </row>
    <row r="14" spans="1:30" ht="12" customHeight="1">
      <c r="A14" s="16" t="s">
        <v>36</v>
      </c>
      <c r="B14" s="29"/>
      <c r="C14" s="29"/>
      <c r="D14" s="29">
        <v>3875.17</v>
      </c>
      <c r="E14" s="29">
        <v>3570.61</v>
      </c>
      <c r="F14" s="29">
        <v>1006.27</v>
      </c>
      <c r="G14" s="29">
        <v>851.07</v>
      </c>
      <c r="H14" s="29">
        <v>788.26</v>
      </c>
      <c r="I14" s="29">
        <v>668.48</v>
      </c>
      <c r="J14" s="29">
        <v>921.01</v>
      </c>
      <c r="K14" s="30">
        <f>63.69+560.46+94.85+222.46</f>
        <v>941.46000000000015</v>
      </c>
      <c r="L14" s="29">
        <v>210.5</v>
      </c>
      <c r="M14" s="29">
        <v>275.75</v>
      </c>
      <c r="N14" s="275">
        <v>216.09</v>
      </c>
      <c r="O14" s="6"/>
      <c r="P14" s="6"/>
      <c r="Q14" s="36" t="s">
        <v>35</v>
      </c>
      <c r="R14" s="37"/>
      <c r="S14" s="37"/>
      <c r="T14" s="38">
        <f t="shared" ref="T14:AD14" si="11">SUM(T15:T29)</f>
        <v>8028.05</v>
      </c>
      <c r="U14" s="38">
        <f t="shared" si="11"/>
        <v>8081.89</v>
      </c>
      <c r="V14" s="38">
        <f t="shared" si="11"/>
        <v>7972.0700000000015</v>
      </c>
      <c r="W14" s="38">
        <f t="shared" si="11"/>
        <v>5063.9600000000009</v>
      </c>
      <c r="X14" s="38">
        <f t="shared" si="11"/>
        <v>4943.49</v>
      </c>
      <c r="Y14" s="38">
        <f t="shared" si="11"/>
        <v>4695.1300000000019</v>
      </c>
      <c r="Z14" s="39">
        <f t="shared" si="11"/>
        <v>4749.449999999998</v>
      </c>
      <c r="AA14" s="22">
        <f t="shared" si="11"/>
        <v>4525.16</v>
      </c>
      <c r="AB14" s="25">
        <f t="shared" si="11"/>
        <v>4489.3000000000011</v>
      </c>
      <c r="AC14" s="196">
        <f t="shared" si="11"/>
        <v>2514.38</v>
      </c>
      <c r="AD14" s="219">
        <f t="shared" si="11"/>
        <v>2611.4899999999998</v>
      </c>
    </row>
    <row r="15" spans="1:30" ht="12" customHeight="1">
      <c r="A15" s="16" t="s">
        <v>38</v>
      </c>
      <c r="B15" s="29"/>
      <c r="C15" s="29"/>
      <c r="D15" s="29">
        <v>778.23</v>
      </c>
      <c r="E15" s="29">
        <v>754.11</v>
      </c>
      <c r="F15" s="29">
        <v>49.13</v>
      </c>
      <c r="G15" s="29"/>
      <c r="H15" s="29"/>
      <c r="I15" s="29"/>
      <c r="J15" s="29"/>
      <c r="K15" s="30"/>
      <c r="L15" s="29"/>
      <c r="M15" s="29"/>
      <c r="N15" s="237"/>
      <c r="O15" s="6"/>
      <c r="P15" s="6"/>
      <c r="Q15" s="16" t="s">
        <v>37</v>
      </c>
      <c r="R15" s="29"/>
      <c r="S15" s="29"/>
      <c r="T15" s="29">
        <v>6331.86</v>
      </c>
      <c r="U15" s="29">
        <v>6202.17</v>
      </c>
      <c r="V15" s="29">
        <v>6115.39</v>
      </c>
      <c r="W15" s="29">
        <v>3496.13</v>
      </c>
      <c r="X15" s="29">
        <v>3386.94</v>
      </c>
      <c r="Y15" s="29">
        <v>3270.6</v>
      </c>
      <c r="Z15" s="40">
        <v>3212.77</v>
      </c>
      <c r="AA15" s="18">
        <v>3111.65</v>
      </c>
      <c r="AB15" s="19">
        <v>2921.53</v>
      </c>
      <c r="AC15" s="63">
        <v>671.26</v>
      </c>
      <c r="AD15" s="218">
        <v>651.03</v>
      </c>
    </row>
    <row r="16" spans="1:30" ht="12" customHeight="1">
      <c r="A16" s="21" t="s">
        <v>40</v>
      </c>
      <c r="B16" s="22">
        <f t="shared" ref="B16:H16" si="12">(B6-B9)</f>
        <v>0</v>
      </c>
      <c r="C16" s="22">
        <f t="shared" si="12"/>
        <v>0</v>
      </c>
      <c r="D16" s="22">
        <f t="shared" si="12"/>
        <v>728.21000000000095</v>
      </c>
      <c r="E16" s="22">
        <f t="shared" si="12"/>
        <v>1004.6899999999996</v>
      </c>
      <c r="F16" s="22">
        <f t="shared" si="12"/>
        <v>851.17999999999984</v>
      </c>
      <c r="G16" s="22">
        <f t="shared" si="12"/>
        <v>1060.9299999999998</v>
      </c>
      <c r="H16" s="22">
        <f t="shared" si="12"/>
        <v>600.05999999999949</v>
      </c>
      <c r="I16" s="22">
        <v>285.3</v>
      </c>
      <c r="J16" s="22">
        <f>(J6-J9)</f>
        <v>487.57000000000062</v>
      </c>
      <c r="K16" s="23">
        <f>(K6-K9)</f>
        <v>593.30000000000064</v>
      </c>
      <c r="L16" s="196">
        <f>(L6-L9)</f>
        <v>290.83000000000004</v>
      </c>
      <c r="M16" s="196">
        <f>(M6-M9)</f>
        <v>68.039999999999964</v>
      </c>
      <c r="N16" s="234">
        <f>(N6-N9)</f>
        <v>-162.68</v>
      </c>
      <c r="O16" s="6"/>
      <c r="P16" s="6"/>
      <c r="Q16" s="16" t="s">
        <v>39</v>
      </c>
      <c r="R16" s="29"/>
      <c r="S16" s="29"/>
      <c r="T16" s="29">
        <v>70.209999999999994</v>
      </c>
      <c r="U16" s="29">
        <v>34.19</v>
      </c>
      <c r="V16" s="29">
        <v>34.270000000000003</v>
      </c>
      <c r="W16" s="29">
        <v>43.8</v>
      </c>
      <c r="X16" s="29">
        <v>139.71</v>
      </c>
      <c r="Y16" s="29">
        <v>172.64</v>
      </c>
      <c r="Z16" s="40">
        <v>173.9</v>
      </c>
      <c r="AA16" s="18">
        <v>189.63</v>
      </c>
      <c r="AB16" s="19">
        <v>57.22</v>
      </c>
      <c r="AC16" s="63">
        <v>24.17</v>
      </c>
      <c r="AD16" s="218">
        <v>44.55</v>
      </c>
    </row>
    <row r="17" spans="1:30" ht="12" customHeight="1">
      <c r="A17" s="26" t="s">
        <v>21</v>
      </c>
      <c r="B17" s="27"/>
      <c r="C17" s="27" t="e">
        <f>(C16/B16-1)</f>
        <v>#DIV/0!</v>
      </c>
      <c r="D17" s="27"/>
      <c r="E17" s="27">
        <f t="shared" ref="E17:M17" si="13">(E16/D16-1)</f>
        <v>0.37967069938616382</v>
      </c>
      <c r="F17" s="27">
        <f t="shared" si="13"/>
        <v>-0.15279339895888266</v>
      </c>
      <c r="G17" s="27">
        <f t="shared" si="13"/>
        <v>0.24642261331328275</v>
      </c>
      <c r="H17" s="27">
        <f t="shared" si="13"/>
        <v>-0.43440189267906504</v>
      </c>
      <c r="I17" s="27">
        <f t="shared" si="13"/>
        <v>-0.52454754524547509</v>
      </c>
      <c r="J17" s="27">
        <f t="shared" si="13"/>
        <v>0.70897301086575748</v>
      </c>
      <c r="K17" s="28">
        <f t="shared" si="13"/>
        <v>0.21685091371495346</v>
      </c>
      <c r="L17" s="197">
        <f t="shared" si="13"/>
        <v>-0.50980953986179045</v>
      </c>
      <c r="M17" s="197">
        <f t="shared" si="13"/>
        <v>-0.76604889454320413</v>
      </c>
      <c r="N17" s="235"/>
      <c r="O17" s="6"/>
      <c r="P17" s="6"/>
      <c r="Q17" s="16" t="s">
        <v>41</v>
      </c>
      <c r="R17" s="29"/>
      <c r="S17" s="29"/>
      <c r="T17" s="29">
        <v>989.81</v>
      </c>
      <c r="U17" s="29">
        <v>980.37</v>
      </c>
      <c r="V17" s="29">
        <v>959.55</v>
      </c>
      <c r="W17" s="29">
        <v>931.74</v>
      </c>
      <c r="X17" s="29">
        <v>897.43</v>
      </c>
      <c r="Y17" s="29">
        <v>860.77</v>
      </c>
      <c r="Z17" s="40">
        <v>838.73</v>
      </c>
      <c r="AA17" s="18">
        <v>796.61</v>
      </c>
      <c r="AB17" s="19">
        <v>764.86</v>
      </c>
      <c r="AC17" s="63">
        <v>736.31</v>
      </c>
      <c r="AD17" s="218">
        <v>721.3</v>
      </c>
    </row>
    <row r="18" spans="1:30" ht="12" customHeight="1">
      <c r="A18" s="26" t="s">
        <v>24</v>
      </c>
      <c r="B18" s="27"/>
      <c r="C18" s="27"/>
      <c r="D18" s="27"/>
      <c r="E18" s="27"/>
      <c r="F18" s="27"/>
      <c r="G18" s="27">
        <f t="shared" ref="G18:M18" si="14">+((G16/D16)^(1/3)-1)</f>
        <v>0.13364400895257877</v>
      </c>
      <c r="H18" s="27">
        <f t="shared" si="14"/>
        <v>-0.15785372368969441</v>
      </c>
      <c r="I18" s="27">
        <f t="shared" si="14"/>
        <v>-0.3053594684061699</v>
      </c>
      <c r="J18" s="27">
        <f t="shared" si="14"/>
        <v>-0.22829718959556577</v>
      </c>
      <c r="K18" s="28">
        <f t="shared" si="14"/>
        <v>-3.7693703383691046E-3</v>
      </c>
      <c r="L18" s="197">
        <f t="shared" si="14"/>
        <v>6.4197339910119222E-3</v>
      </c>
      <c r="M18" s="197">
        <f t="shared" si="14"/>
        <v>-0.4813085255375511</v>
      </c>
      <c r="N18" s="235"/>
      <c r="O18" s="6"/>
      <c r="P18" s="6"/>
      <c r="Q18" s="16" t="s">
        <v>42</v>
      </c>
      <c r="R18" s="29"/>
      <c r="S18" s="29"/>
      <c r="T18" s="29">
        <v>39.56</v>
      </c>
      <c r="U18" s="29">
        <v>124.11</v>
      </c>
      <c r="V18" s="29">
        <v>176.54</v>
      </c>
      <c r="W18" s="29">
        <v>230.72</v>
      </c>
      <c r="X18" s="29">
        <v>36.4</v>
      </c>
      <c r="Y18" s="29">
        <v>36.799999999999997</v>
      </c>
      <c r="Z18" s="40">
        <v>36.22</v>
      </c>
      <c r="AA18" s="18">
        <v>36.409999999999997</v>
      </c>
      <c r="AB18" s="19">
        <v>37.93</v>
      </c>
      <c r="AC18" s="63">
        <v>23.09</v>
      </c>
      <c r="AD18" s="218">
        <v>32.840000000000003</v>
      </c>
    </row>
    <row r="19" spans="1:30" ht="12" customHeight="1">
      <c r="A19" s="21" t="s">
        <v>44</v>
      </c>
      <c r="B19" s="41" t="e">
        <f>(B16/B6)</f>
        <v>#DIV/0!</v>
      </c>
      <c r="C19" s="41" t="e">
        <f>(C16/C6)</f>
        <v>#DIV/0!</v>
      </c>
      <c r="D19" s="41">
        <f t="shared" ref="D19:M19" si="15">(D16/D4)</f>
        <v>8.3269774584657494E-2</v>
      </c>
      <c r="E19" s="41">
        <f t="shared" si="15"/>
        <v>0.11962218682059227</v>
      </c>
      <c r="F19" s="41">
        <f t="shared" si="15"/>
        <v>0.21565676527520189</v>
      </c>
      <c r="G19" s="41">
        <f t="shared" si="15"/>
        <v>0.26902849202243656</v>
      </c>
      <c r="H19" s="41">
        <f t="shared" si="15"/>
        <v>0.17528085949138567</v>
      </c>
      <c r="I19" s="41">
        <f t="shared" si="15"/>
        <v>0.10903462508598946</v>
      </c>
      <c r="J19" s="41">
        <f t="shared" si="15"/>
        <v>0.11802854065045586</v>
      </c>
      <c r="K19" s="42">
        <f t="shared" si="15"/>
        <v>0.15483503922418085</v>
      </c>
      <c r="L19" s="199">
        <f t="shared" si="15"/>
        <v>0.2642515764415127</v>
      </c>
      <c r="M19" s="199">
        <f t="shared" si="15"/>
        <v>5.5821737988973462E-2</v>
      </c>
      <c r="N19" s="238">
        <f>(N16/N4)</f>
        <v>-0.50121699479311088</v>
      </c>
      <c r="O19" s="6"/>
      <c r="P19" s="6"/>
      <c r="Q19" s="16" t="s">
        <v>43</v>
      </c>
      <c r="R19" s="29"/>
      <c r="S19" s="29"/>
      <c r="T19" s="29">
        <v>2.63</v>
      </c>
      <c r="U19" s="29">
        <v>2.75</v>
      </c>
      <c r="V19" s="29">
        <v>4.0599999999999996</v>
      </c>
      <c r="W19" s="29">
        <v>2.58</v>
      </c>
      <c r="X19" s="29">
        <v>8.92</v>
      </c>
      <c r="Y19" s="29">
        <v>7.84</v>
      </c>
      <c r="Z19" s="40">
        <v>7.11</v>
      </c>
      <c r="AA19" s="18">
        <v>7.66</v>
      </c>
      <c r="AB19" s="19">
        <v>9.5299999999999994</v>
      </c>
      <c r="AC19" s="63">
        <v>6.75</v>
      </c>
      <c r="AD19" s="218">
        <v>6.78</v>
      </c>
    </row>
    <row r="20" spans="1:30" ht="12" customHeight="1">
      <c r="A20" s="16" t="s">
        <v>46</v>
      </c>
      <c r="B20" s="13"/>
      <c r="C20" s="13"/>
      <c r="D20" s="29">
        <v>283.08999999999997</v>
      </c>
      <c r="E20" s="29">
        <v>313.33999999999997</v>
      </c>
      <c r="F20" s="29">
        <v>199.31</v>
      </c>
      <c r="G20" s="29">
        <v>193</v>
      </c>
      <c r="H20" s="29">
        <v>228.58</v>
      </c>
      <c r="I20" s="29">
        <v>231.13</v>
      </c>
      <c r="J20" s="29">
        <v>230.66</v>
      </c>
      <c r="K20" s="30">
        <v>195.93</v>
      </c>
      <c r="L20" s="29">
        <v>59.01</v>
      </c>
      <c r="M20" s="29">
        <v>63.79</v>
      </c>
      <c r="N20" s="275">
        <v>49</v>
      </c>
      <c r="O20" s="6"/>
      <c r="P20" s="6"/>
      <c r="Q20" s="16" t="s">
        <v>45</v>
      </c>
      <c r="R20" s="29"/>
      <c r="S20" s="29"/>
      <c r="T20" s="29">
        <v>0.1</v>
      </c>
      <c r="U20" s="29">
        <v>0.1</v>
      </c>
      <c r="V20" s="43" t="s">
        <v>34</v>
      </c>
      <c r="W20" s="43" t="s">
        <v>34</v>
      </c>
      <c r="X20" s="43" t="s">
        <v>34</v>
      </c>
      <c r="Y20" s="29">
        <v>0.89</v>
      </c>
      <c r="Z20" s="40">
        <v>0.69</v>
      </c>
      <c r="AA20" s="18">
        <v>0.06</v>
      </c>
      <c r="AB20" s="19">
        <v>0.88</v>
      </c>
      <c r="AC20" s="63">
        <v>2.13</v>
      </c>
      <c r="AD20" s="218">
        <v>1.77</v>
      </c>
    </row>
    <row r="21" spans="1:30" ht="12" customHeight="1">
      <c r="A21" s="16" t="s">
        <v>48</v>
      </c>
      <c r="B21" s="13"/>
      <c r="C21" s="13"/>
      <c r="D21" s="29">
        <v>587.65</v>
      </c>
      <c r="E21" s="29">
        <v>550.75</v>
      </c>
      <c r="F21" s="29">
        <v>211.81</v>
      </c>
      <c r="G21" s="29">
        <v>101.55</v>
      </c>
      <c r="H21" s="29">
        <v>87.09</v>
      </c>
      <c r="I21" s="29">
        <v>70.7</v>
      </c>
      <c r="J21" s="29">
        <v>52.18</v>
      </c>
      <c r="K21" s="30">
        <v>34.22</v>
      </c>
      <c r="L21" s="29">
        <v>29.86</v>
      </c>
      <c r="M21" s="29">
        <v>45.75</v>
      </c>
      <c r="N21" s="275">
        <v>43.8</v>
      </c>
      <c r="O21" s="6"/>
      <c r="P21" s="44"/>
      <c r="Q21" s="16" t="s">
        <v>47</v>
      </c>
      <c r="R21" s="29"/>
      <c r="S21" s="29"/>
      <c r="T21" s="29"/>
      <c r="U21" s="29"/>
      <c r="V21" s="43" t="s">
        <v>34</v>
      </c>
      <c r="W21" s="43" t="s">
        <v>34</v>
      </c>
      <c r="X21" s="43" t="s">
        <v>34</v>
      </c>
      <c r="Y21" s="43" t="s">
        <v>34</v>
      </c>
      <c r="Z21" s="40">
        <v>14.87</v>
      </c>
      <c r="AA21" s="18">
        <v>23.16</v>
      </c>
      <c r="AB21" s="19">
        <v>0.76</v>
      </c>
      <c r="AC21" s="208" t="s">
        <v>34</v>
      </c>
      <c r="AD21" s="222">
        <v>0</v>
      </c>
    </row>
    <row r="22" spans="1:30" ht="12" customHeight="1">
      <c r="A22" s="16" t="s">
        <v>263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/>
      <c r="J22" s="13">
        <v>0.13</v>
      </c>
      <c r="K22" s="45">
        <v>-1.84</v>
      </c>
      <c r="L22" s="190">
        <v>-22.4</v>
      </c>
      <c r="M22" s="190">
        <v>-13.53</v>
      </c>
      <c r="N22" s="276">
        <v>-7.71</v>
      </c>
      <c r="O22" s="6"/>
      <c r="P22" s="6"/>
      <c r="Q22" s="16" t="s">
        <v>49</v>
      </c>
      <c r="R22" s="29"/>
      <c r="S22" s="29"/>
      <c r="T22" s="29"/>
      <c r="U22" s="29"/>
      <c r="V22" s="29"/>
      <c r="W22" s="29"/>
      <c r="X22" s="29"/>
      <c r="Y22" s="29"/>
      <c r="Z22" s="40"/>
      <c r="AA22" s="18"/>
      <c r="AB22" s="19"/>
      <c r="AC22" s="63"/>
      <c r="AD22" s="218"/>
    </row>
    <row r="23" spans="1:30" ht="12" customHeight="1">
      <c r="A23" s="16" t="s">
        <v>264</v>
      </c>
      <c r="B23" s="13"/>
      <c r="C23" s="13"/>
      <c r="D23" s="13"/>
      <c r="E23" s="13">
        <v>0</v>
      </c>
      <c r="F23" s="13">
        <v>0</v>
      </c>
      <c r="G23" s="13">
        <v>0</v>
      </c>
      <c r="H23" s="13">
        <v>0</v>
      </c>
      <c r="I23" s="13"/>
      <c r="J23" s="13"/>
      <c r="K23" s="46">
        <v>134.21</v>
      </c>
      <c r="L23" s="191"/>
      <c r="M23" s="191">
        <v>-123.97</v>
      </c>
      <c r="N23" s="277">
        <v>-22.29</v>
      </c>
      <c r="O23" s="6"/>
      <c r="P23" s="6"/>
      <c r="Q23" s="16" t="s">
        <v>50</v>
      </c>
      <c r="R23" s="29"/>
      <c r="S23" s="29"/>
      <c r="T23" s="29">
        <v>177.35</v>
      </c>
      <c r="U23" s="29">
        <v>258.31</v>
      </c>
      <c r="V23" s="29">
        <v>223.36</v>
      </c>
      <c r="W23" s="29">
        <v>182.84</v>
      </c>
      <c r="X23" s="29">
        <v>106.69</v>
      </c>
      <c r="Y23" s="29">
        <v>192.72</v>
      </c>
      <c r="Z23" s="40">
        <v>263.19</v>
      </c>
      <c r="AA23" s="18">
        <v>201.61</v>
      </c>
      <c r="AB23" s="19">
        <v>408.23</v>
      </c>
      <c r="AC23" s="63">
        <v>672.12</v>
      </c>
      <c r="AD23" s="218">
        <v>649.54999999999995</v>
      </c>
    </row>
    <row r="24" spans="1:30" ht="12" customHeight="1">
      <c r="A24" s="21" t="s">
        <v>53</v>
      </c>
      <c r="B24" s="22">
        <f t="shared" ref="B24:H24" si="16">(B16-B20-B21+B22+B23)</f>
        <v>0</v>
      </c>
      <c r="C24" s="22">
        <f t="shared" si="16"/>
        <v>0</v>
      </c>
      <c r="D24" s="22">
        <f t="shared" si="16"/>
        <v>-142.52999999999901</v>
      </c>
      <c r="E24" s="22">
        <f t="shared" si="16"/>
        <v>140.59999999999968</v>
      </c>
      <c r="F24" s="22">
        <f t="shared" si="16"/>
        <v>440.05999999999989</v>
      </c>
      <c r="G24" s="22">
        <f t="shared" si="16"/>
        <v>766.37999999999988</v>
      </c>
      <c r="H24" s="22">
        <f t="shared" si="16"/>
        <v>284.38999999999942</v>
      </c>
      <c r="I24" s="22">
        <v>-16.5</v>
      </c>
      <c r="J24" s="22">
        <f>J16-J20-J21-J22-J23</f>
        <v>204.60000000000065</v>
      </c>
      <c r="K24" s="23">
        <f t="shared" ref="K24:M24" si="17">K16-K20-K21+K22+K23</f>
        <v>495.52000000000066</v>
      </c>
      <c r="L24" s="200">
        <f>L16-L20-L21+L22+L23</f>
        <v>179.56000000000003</v>
      </c>
      <c r="M24" s="200">
        <f t="shared" si="17"/>
        <v>-179.00000000000003</v>
      </c>
      <c r="N24" s="234">
        <f>N16-N20-N21+N22+N23</f>
        <v>-285.48</v>
      </c>
      <c r="O24" s="6"/>
      <c r="P24" s="6"/>
      <c r="Q24" s="16" t="s">
        <v>52</v>
      </c>
      <c r="R24" s="29"/>
      <c r="S24" s="29"/>
      <c r="T24" s="29"/>
      <c r="U24" s="29"/>
      <c r="V24" s="29">
        <v>256.33999999999997</v>
      </c>
      <c r="W24" s="29">
        <v>6.92</v>
      </c>
      <c r="X24" s="29">
        <v>57.17</v>
      </c>
      <c r="Y24" s="29">
        <v>6.27</v>
      </c>
      <c r="Z24" s="40"/>
      <c r="AA24" s="18"/>
      <c r="AB24" s="19"/>
      <c r="AC24" s="63"/>
      <c r="AD24" s="218">
        <v>0</v>
      </c>
    </row>
    <row r="25" spans="1:30" ht="12" customHeight="1">
      <c r="A25" s="16" t="s">
        <v>55</v>
      </c>
      <c r="B25" s="13"/>
      <c r="C25" s="29"/>
      <c r="D25" s="20">
        <v>-0.76</v>
      </c>
      <c r="E25" s="29"/>
      <c r="F25" s="29">
        <v>83.19</v>
      </c>
      <c r="G25" s="29">
        <v>174.58</v>
      </c>
      <c r="H25" s="29">
        <v>53.92</v>
      </c>
      <c r="I25" s="29"/>
      <c r="J25" s="29">
        <v>55.01</v>
      </c>
      <c r="K25" s="30">
        <v>92.84</v>
      </c>
      <c r="L25" s="29">
        <v>117.45</v>
      </c>
      <c r="M25" s="29">
        <f>86.18+1.08</f>
        <v>87.26</v>
      </c>
      <c r="N25" s="275">
        <v>23.9</v>
      </c>
      <c r="O25" s="6"/>
      <c r="P25" s="6"/>
      <c r="Q25" s="16" t="s">
        <v>54</v>
      </c>
      <c r="R25" s="29"/>
      <c r="S25" s="29"/>
      <c r="T25" s="29">
        <v>232.21</v>
      </c>
      <c r="U25" s="29">
        <v>293.25</v>
      </c>
      <c r="V25" s="29" t="s">
        <v>34</v>
      </c>
      <c r="W25" s="29">
        <v>7.88</v>
      </c>
      <c r="X25" s="29">
        <v>2.89</v>
      </c>
      <c r="Y25" s="29">
        <v>1.46</v>
      </c>
      <c r="Z25" s="40">
        <v>58.16</v>
      </c>
      <c r="AA25" s="18">
        <v>19.97</v>
      </c>
      <c r="AB25" s="19">
        <v>70.349999999999994</v>
      </c>
      <c r="AC25" s="63">
        <v>24.19</v>
      </c>
      <c r="AD25" s="218">
        <v>68.67</v>
      </c>
    </row>
    <row r="26" spans="1:30" ht="12" customHeight="1">
      <c r="A26" s="16" t="s">
        <v>57</v>
      </c>
      <c r="B26" s="13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>
        <v>-19.25</v>
      </c>
      <c r="J26" s="29">
        <v>-54.99</v>
      </c>
      <c r="K26" s="30">
        <v>0</v>
      </c>
      <c r="L26" s="29">
        <v>0</v>
      </c>
      <c r="M26" s="29">
        <v>0</v>
      </c>
      <c r="N26" s="275">
        <v>0</v>
      </c>
      <c r="O26" s="6"/>
      <c r="P26" s="6"/>
      <c r="Q26" s="16" t="s">
        <v>56</v>
      </c>
      <c r="R26" s="29"/>
      <c r="S26" s="29"/>
      <c r="T26" s="29">
        <v>120.16</v>
      </c>
      <c r="U26" s="29">
        <v>121.77</v>
      </c>
      <c r="V26" s="29">
        <v>103.85</v>
      </c>
      <c r="W26" s="29">
        <v>40.83</v>
      </c>
      <c r="X26" s="29">
        <v>51.29</v>
      </c>
      <c r="Y26" s="29">
        <v>38.590000000000003</v>
      </c>
      <c r="Z26" s="40">
        <v>25.65</v>
      </c>
      <c r="AA26" s="18">
        <v>21.58</v>
      </c>
      <c r="AB26" s="19">
        <v>35.6</v>
      </c>
      <c r="AC26" s="63">
        <v>6.88</v>
      </c>
      <c r="AD26" s="218">
        <v>6.66</v>
      </c>
    </row>
    <row r="27" spans="1:30" ht="12" customHeight="1">
      <c r="A27" s="16" t="s">
        <v>59</v>
      </c>
      <c r="B27" s="13"/>
      <c r="C27" s="29"/>
      <c r="D27" s="20">
        <v>-46.77</v>
      </c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17.809999999999999</v>
      </c>
      <c r="J27" s="29">
        <f>84.01-33.59</f>
        <v>50.42</v>
      </c>
      <c r="K27" s="30">
        <f>79.54+0.55</f>
        <v>80.09</v>
      </c>
      <c r="L27" s="29">
        <v>-66.14</v>
      </c>
      <c r="M27" s="29">
        <v>-117.52</v>
      </c>
      <c r="N27" s="275">
        <v>-81.62</v>
      </c>
      <c r="O27" s="6"/>
      <c r="P27" s="6"/>
      <c r="Q27" s="16" t="s">
        <v>58</v>
      </c>
      <c r="R27" s="29"/>
      <c r="S27" s="29"/>
      <c r="T27" s="29">
        <v>0</v>
      </c>
      <c r="U27" s="29">
        <v>0</v>
      </c>
      <c r="V27" s="29">
        <v>0</v>
      </c>
      <c r="W27" s="29">
        <v>0</v>
      </c>
      <c r="X27" s="29">
        <v>64.56</v>
      </c>
      <c r="Y27" s="29">
        <v>55.49</v>
      </c>
      <c r="Z27" s="40">
        <v>56.94</v>
      </c>
      <c r="AA27" s="18">
        <v>48.08</v>
      </c>
      <c r="AB27" s="19">
        <v>94.96</v>
      </c>
      <c r="AC27" s="63">
        <v>254.74</v>
      </c>
      <c r="AD27" s="218">
        <v>315.51</v>
      </c>
    </row>
    <row r="28" spans="1:30" ht="12" customHeight="1">
      <c r="A28" s="16" t="s">
        <v>61</v>
      </c>
      <c r="B28" s="13"/>
      <c r="C28" s="29"/>
      <c r="D28" s="29">
        <f t="shared" ref="D28:H28" si="18">SUM(D25:D27)</f>
        <v>-47.53</v>
      </c>
      <c r="E28" s="29">
        <f t="shared" si="18"/>
        <v>16.71</v>
      </c>
      <c r="F28" s="29">
        <f t="shared" si="18"/>
        <v>160.56</v>
      </c>
      <c r="G28" s="29">
        <f t="shared" si="18"/>
        <v>266.91000000000003</v>
      </c>
      <c r="H28" s="29">
        <f t="shared" si="18"/>
        <v>-93.69</v>
      </c>
      <c r="I28" s="29">
        <v>-1.44</v>
      </c>
      <c r="J28" s="29">
        <f t="shared" ref="J28:M28" si="19">SUM(J25:J27)</f>
        <v>50.44</v>
      </c>
      <c r="K28" s="30">
        <f t="shared" si="19"/>
        <v>172.93</v>
      </c>
      <c r="L28" s="29">
        <f>SUM(L25:L27)</f>
        <v>51.31</v>
      </c>
      <c r="M28" s="29">
        <f t="shared" si="19"/>
        <v>-30.259999999999991</v>
      </c>
      <c r="N28" s="275">
        <f>SUM(N25:N27)</f>
        <v>-57.720000000000006</v>
      </c>
      <c r="O28" s="6"/>
      <c r="P28" s="6"/>
      <c r="Q28" s="16" t="s">
        <v>60</v>
      </c>
      <c r="R28" s="29"/>
      <c r="S28" s="29"/>
      <c r="T28" s="29">
        <v>64.16</v>
      </c>
      <c r="U28" s="29">
        <v>64.87</v>
      </c>
      <c r="V28" s="29">
        <v>98.71</v>
      </c>
      <c r="W28" s="29">
        <v>120.52</v>
      </c>
      <c r="X28" s="29">
        <v>191.49</v>
      </c>
      <c r="Y28" s="29">
        <v>51.06</v>
      </c>
      <c r="Z28" s="40">
        <v>61.22</v>
      </c>
      <c r="AA28" s="18">
        <v>68.739999999999995</v>
      </c>
      <c r="AB28" s="19">
        <v>87.45</v>
      </c>
      <c r="AC28" s="63">
        <v>92.74</v>
      </c>
      <c r="AD28" s="218">
        <v>112.83</v>
      </c>
    </row>
    <row r="29" spans="1:30" ht="12" customHeight="1">
      <c r="A29" s="26" t="s">
        <v>62</v>
      </c>
      <c r="B29" s="27">
        <v>0</v>
      </c>
      <c r="C29" s="27">
        <v>0</v>
      </c>
      <c r="D29" s="27">
        <f t="shared" ref="D29:H29" si="20">(D28/D24)</f>
        <v>0.33347365466919476</v>
      </c>
      <c r="E29" s="27">
        <f t="shared" si="20"/>
        <v>0.11884779516358492</v>
      </c>
      <c r="F29" s="27">
        <f t="shared" si="20"/>
        <v>0.36485933736308696</v>
      </c>
      <c r="G29" s="27">
        <f t="shared" si="20"/>
        <v>0.34827370234087535</v>
      </c>
      <c r="H29" s="27">
        <f t="shared" si="20"/>
        <v>-0.329441963500827</v>
      </c>
      <c r="I29" s="47" t="s">
        <v>34</v>
      </c>
      <c r="J29" s="27">
        <f t="shared" ref="J29:M29" si="21">(J28/J24)</f>
        <v>0.24652981427174897</v>
      </c>
      <c r="K29" s="28">
        <f t="shared" si="21"/>
        <v>0.34898692282854332</v>
      </c>
      <c r="L29" s="197">
        <f t="shared" si="21"/>
        <v>0.28575406549342836</v>
      </c>
      <c r="M29" s="197">
        <f t="shared" si="21"/>
        <v>0.16905027932960887</v>
      </c>
      <c r="N29" s="239">
        <f>(N28/N24)</f>
        <v>0.20218579234972678</v>
      </c>
      <c r="O29" s="6"/>
      <c r="P29" s="6"/>
      <c r="Q29" s="16"/>
      <c r="R29" s="29"/>
      <c r="S29" s="29"/>
      <c r="T29" s="29"/>
      <c r="U29" s="29"/>
      <c r="V29" s="29"/>
      <c r="W29" s="29"/>
      <c r="X29" s="29"/>
      <c r="Y29" s="29"/>
      <c r="Z29" s="40"/>
      <c r="AA29" s="29"/>
      <c r="AB29" s="33"/>
      <c r="AC29" s="29"/>
      <c r="AD29" s="221"/>
    </row>
    <row r="30" spans="1:30" ht="12" customHeight="1">
      <c r="A30" s="21" t="s">
        <v>64</v>
      </c>
      <c r="B30" s="22">
        <f t="shared" ref="B30:C30" si="22">(B24-B25)</f>
        <v>0</v>
      </c>
      <c r="C30" s="22">
        <f t="shared" si="22"/>
        <v>0</v>
      </c>
      <c r="D30" s="22">
        <f t="shared" ref="D30:H30" si="23">D24-D28</f>
        <v>-94.999999999999005</v>
      </c>
      <c r="E30" s="22">
        <f t="shared" si="23"/>
        <v>123.88999999999967</v>
      </c>
      <c r="F30" s="22">
        <f t="shared" si="23"/>
        <v>279.49999999999989</v>
      </c>
      <c r="G30" s="22">
        <f t="shared" si="23"/>
        <v>499.46999999999986</v>
      </c>
      <c r="H30" s="22">
        <f t="shared" si="23"/>
        <v>378.07999999999942</v>
      </c>
      <c r="I30" s="22">
        <v>-15.1</v>
      </c>
      <c r="J30" s="22">
        <f t="shared" ref="J30:M30" si="24">(J24-J28)</f>
        <v>154.16000000000065</v>
      </c>
      <c r="K30" s="23">
        <f t="shared" si="24"/>
        <v>322.59000000000066</v>
      </c>
      <c r="L30" s="196">
        <f t="shared" si="24"/>
        <v>128.25000000000003</v>
      </c>
      <c r="M30" s="196">
        <f t="shared" si="24"/>
        <v>-148.74000000000004</v>
      </c>
      <c r="N30" s="234">
        <f>N24-N28</f>
        <v>-227.76000000000002</v>
      </c>
      <c r="O30" s="6"/>
      <c r="P30" s="6"/>
      <c r="Q30" s="21" t="s">
        <v>63</v>
      </c>
      <c r="R30" s="22">
        <f t="shared" ref="R30:AB30" si="25">SUM(R31:R39)</f>
        <v>0</v>
      </c>
      <c r="S30" s="22">
        <f t="shared" si="25"/>
        <v>0</v>
      </c>
      <c r="T30" s="22">
        <f t="shared" si="25"/>
        <v>2164.9699999999998</v>
      </c>
      <c r="U30" s="22">
        <f t="shared" si="25"/>
        <v>2254.4300000000003</v>
      </c>
      <c r="V30" s="22">
        <f t="shared" si="25"/>
        <v>2358.5100000000002</v>
      </c>
      <c r="W30" s="22">
        <f t="shared" si="25"/>
        <v>1108.6199999999999</v>
      </c>
      <c r="X30" s="22">
        <f t="shared" si="25"/>
        <v>1802.6700000000005</v>
      </c>
      <c r="Y30" s="22">
        <f t="shared" si="25"/>
        <v>1996.4199999999998</v>
      </c>
      <c r="Z30" s="23">
        <f t="shared" si="25"/>
        <v>2989.3900000000003</v>
      </c>
      <c r="AA30" s="22">
        <f t="shared" si="25"/>
        <v>3926.4800000000005</v>
      </c>
      <c r="AB30" s="25">
        <f t="shared" si="25"/>
        <v>5970.26</v>
      </c>
      <c r="AC30" s="196">
        <f>SUM(AC31:AC39)</f>
        <v>11043.419999999998</v>
      </c>
      <c r="AD30" s="219">
        <f>SUM(AD31:AD39)</f>
        <v>11490.810000000001</v>
      </c>
    </row>
    <row r="31" spans="1:30" ht="12" customHeight="1">
      <c r="A31" s="21" t="s">
        <v>66</v>
      </c>
      <c r="B31" s="41">
        <v>0</v>
      </c>
      <c r="C31" s="41">
        <v>0</v>
      </c>
      <c r="D31" s="41">
        <f t="shared" ref="D31:M31" si="26">D30/D4</f>
        <v>-1.0863114466352247E-2</v>
      </c>
      <c r="E31" s="41">
        <f t="shared" si="26"/>
        <v>1.4750811419645007E-2</v>
      </c>
      <c r="F31" s="41">
        <f t="shared" si="26"/>
        <v>7.0814711217860982E-2</v>
      </c>
      <c r="G31" s="41">
        <f t="shared" si="26"/>
        <v>0.12665459635456286</v>
      </c>
      <c r="H31" s="41">
        <f t="shared" si="26"/>
        <v>0.110439268334005</v>
      </c>
      <c r="I31" s="41">
        <f t="shared" si="26"/>
        <v>-5.7708476649086602E-3</v>
      </c>
      <c r="J31" s="41">
        <f t="shared" si="26"/>
        <v>3.7318292402474168E-2</v>
      </c>
      <c r="K31" s="42">
        <f t="shared" si="26"/>
        <v>8.4187148665647304E-2</v>
      </c>
      <c r="L31" s="199">
        <f t="shared" si="26"/>
        <v>0.11652946628141529</v>
      </c>
      <c r="M31" s="199">
        <f t="shared" si="26"/>
        <v>-0.12203006038330275</v>
      </c>
      <c r="N31" s="238">
        <f>N30/N4</f>
        <v>-0.70172844070616514</v>
      </c>
      <c r="O31" s="6"/>
      <c r="P31" s="6"/>
      <c r="Q31" s="16" t="s">
        <v>65</v>
      </c>
      <c r="R31" s="29"/>
      <c r="S31" s="29"/>
      <c r="T31" s="29">
        <v>1273.1400000000001</v>
      </c>
      <c r="U31" s="29">
        <v>1264.5</v>
      </c>
      <c r="V31" s="29">
        <v>1178.55</v>
      </c>
      <c r="W31" s="29">
        <v>699</v>
      </c>
      <c r="X31" s="29">
        <v>1337.68</v>
      </c>
      <c r="Y31" s="29">
        <v>1508.29</v>
      </c>
      <c r="Z31" s="48">
        <v>2330.86</v>
      </c>
      <c r="AA31" s="18">
        <v>3256.1</v>
      </c>
      <c r="AB31" s="19">
        <v>4725.7700000000004</v>
      </c>
      <c r="AC31" s="63">
        <v>8943.4</v>
      </c>
      <c r="AD31" s="218">
        <v>9486.94</v>
      </c>
    </row>
    <row r="32" spans="1:30" ht="12" customHeight="1">
      <c r="A32" s="26" t="s">
        <v>24</v>
      </c>
      <c r="B32" s="41"/>
      <c r="C32" s="41"/>
      <c r="D32" s="41"/>
      <c r="E32" s="41"/>
      <c r="F32" s="41"/>
      <c r="G32" s="41"/>
      <c r="H32" s="27">
        <f t="shared" ref="H32:M32" si="27">+((H30/E30)^(1/3)-1)</f>
        <v>0.4504936006851552</v>
      </c>
      <c r="I32" s="27">
        <f t="shared" si="27"/>
        <v>-1.3780347399617694</v>
      </c>
      <c r="J32" s="27">
        <f t="shared" si="27"/>
        <v>-0.32419598979381048</v>
      </c>
      <c r="K32" s="28">
        <f t="shared" si="27"/>
        <v>-5.1532620740102897E-2</v>
      </c>
      <c r="L32" s="197">
        <f t="shared" si="27"/>
        <v>-3.0402973970054896</v>
      </c>
      <c r="M32" s="197">
        <f t="shared" si="27"/>
        <v>-1.9881404821376467</v>
      </c>
      <c r="N32" s="235"/>
      <c r="O32" s="6"/>
      <c r="P32" s="6"/>
      <c r="Q32" s="16" t="s">
        <v>49</v>
      </c>
      <c r="R32" s="29"/>
      <c r="S32" s="29"/>
      <c r="T32" s="29"/>
      <c r="U32" s="29"/>
      <c r="V32" s="29"/>
      <c r="W32" s="29"/>
      <c r="X32" s="29"/>
      <c r="Y32" s="29"/>
      <c r="Z32" s="48"/>
      <c r="AA32" s="18"/>
      <c r="AB32" s="19"/>
      <c r="AC32" s="18"/>
      <c r="AD32" s="223"/>
    </row>
    <row r="33" spans="1:30" ht="12" customHeight="1">
      <c r="A33" s="3" t="s">
        <v>68</v>
      </c>
      <c r="B33" s="29"/>
      <c r="C33" s="29"/>
      <c r="D33" s="29"/>
      <c r="E33" s="29"/>
      <c r="F33" s="29"/>
      <c r="G33" s="29"/>
      <c r="H33" s="29"/>
      <c r="I33" s="29"/>
      <c r="J33" s="29"/>
      <c r="K33" s="48"/>
      <c r="L33" s="29"/>
      <c r="M33" s="29"/>
      <c r="N33" s="237"/>
      <c r="O33" s="6"/>
      <c r="P33" s="6"/>
      <c r="Q33" s="16" t="s">
        <v>67</v>
      </c>
      <c r="R33" s="29"/>
      <c r="S33" s="29"/>
      <c r="T33" s="29">
        <v>524.36</v>
      </c>
      <c r="U33" s="29">
        <v>502.96</v>
      </c>
      <c r="V33" s="29">
        <v>421.47</v>
      </c>
      <c r="W33" s="29">
        <v>203.86</v>
      </c>
      <c r="X33" s="29">
        <v>181.24</v>
      </c>
      <c r="Y33" s="29">
        <v>157.85</v>
      </c>
      <c r="Z33" s="48">
        <v>216.8</v>
      </c>
      <c r="AA33" s="18">
        <v>156.44</v>
      </c>
      <c r="AB33" s="19">
        <v>165.63</v>
      </c>
      <c r="AC33" s="63">
        <v>104.65</v>
      </c>
      <c r="AD33" s="218">
        <v>15.96</v>
      </c>
    </row>
    <row r="34" spans="1:30" ht="12" customHeight="1">
      <c r="A34" s="16" t="s">
        <v>70</v>
      </c>
      <c r="B34" s="29"/>
      <c r="C34" s="29"/>
      <c r="D34" s="29"/>
      <c r="E34" s="29">
        <v>-28.9</v>
      </c>
      <c r="F34" s="29">
        <v>167.72</v>
      </c>
      <c r="G34" s="29">
        <v>-46.56</v>
      </c>
      <c r="H34" s="29">
        <v>-27.13</v>
      </c>
      <c r="I34" s="29">
        <v>-28.5</v>
      </c>
      <c r="J34" s="17">
        <v>-7.04</v>
      </c>
      <c r="K34" s="30">
        <v>-89.27</v>
      </c>
      <c r="L34" s="29">
        <v>108.26</v>
      </c>
      <c r="M34" s="29">
        <v>-13.38</v>
      </c>
      <c r="N34" s="275">
        <v>187.41</v>
      </c>
      <c r="O34" s="6"/>
      <c r="P34" s="6"/>
      <c r="Q34" s="16" t="s">
        <v>69</v>
      </c>
      <c r="R34" s="29"/>
      <c r="S34" s="29"/>
      <c r="T34" s="29">
        <v>54.46</v>
      </c>
      <c r="U34" s="29">
        <v>39.24</v>
      </c>
      <c r="V34" s="29">
        <v>189.36</v>
      </c>
      <c r="W34" s="29">
        <v>21.25</v>
      </c>
      <c r="X34" s="29">
        <v>58.7</v>
      </c>
      <c r="Y34" s="29">
        <v>50.54</v>
      </c>
      <c r="Z34" s="48">
        <v>34.82</v>
      </c>
      <c r="AA34" s="18">
        <v>48.51</v>
      </c>
      <c r="AB34" s="19">
        <v>372.72</v>
      </c>
      <c r="AC34" s="63">
        <v>871.55</v>
      </c>
      <c r="AD34" s="218">
        <v>681.42</v>
      </c>
    </row>
    <row r="35" spans="1:30" ht="12" customHeight="1">
      <c r="A35" s="16" t="s">
        <v>269</v>
      </c>
      <c r="B35" s="29"/>
      <c r="C35" s="29"/>
      <c r="D35" s="29"/>
      <c r="E35" s="29"/>
      <c r="F35" s="29"/>
      <c r="G35" s="29"/>
      <c r="H35" s="29"/>
      <c r="I35" s="29"/>
      <c r="J35" s="17"/>
      <c r="K35" s="30"/>
      <c r="L35" s="29"/>
      <c r="M35" s="29"/>
      <c r="N35" s="275">
        <v>-29.89</v>
      </c>
      <c r="O35" s="6"/>
      <c r="P35" s="6"/>
      <c r="Q35" s="16" t="s">
        <v>71</v>
      </c>
      <c r="R35" s="29"/>
      <c r="S35" s="29"/>
      <c r="T35" s="29">
        <v>47.33</v>
      </c>
      <c r="U35" s="29">
        <v>49.97</v>
      </c>
      <c r="V35" s="29">
        <v>60.39</v>
      </c>
      <c r="W35" s="29">
        <v>37.29</v>
      </c>
      <c r="X35" s="29">
        <v>60.65</v>
      </c>
      <c r="Y35" s="29">
        <v>74.39</v>
      </c>
      <c r="Z35" s="48">
        <v>30.99</v>
      </c>
      <c r="AA35" s="18">
        <v>102.62</v>
      </c>
      <c r="AB35" s="19">
        <v>28.78</v>
      </c>
      <c r="AC35" s="63">
        <v>129.07</v>
      </c>
      <c r="AD35" s="218">
        <v>44.6</v>
      </c>
    </row>
    <row r="36" spans="1:30" ht="12" customHeight="1">
      <c r="A36" s="16" t="s">
        <v>72</v>
      </c>
      <c r="B36" s="29"/>
      <c r="C36" s="29"/>
      <c r="D36" s="29"/>
      <c r="E36" s="29"/>
      <c r="F36" s="29">
        <v>-18.12</v>
      </c>
      <c r="G36" s="29">
        <v>5593.46</v>
      </c>
      <c r="H36" s="29"/>
      <c r="I36" s="29"/>
      <c r="J36" s="29">
        <v>17.63</v>
      </c>
      <c r="K36" s="30">
        <v>0</v>
      </c>
      <c r="L36" s="29">
        <v>0</v>
      </c>
      <c r="M36" s="29">
        <v>0</v>
      </c>
      <c r="N36" s="275">
        <v>0</v>
      </c>
      <c r="O36" s="6"/>
      <c r="P36" s="6"/>
      <c r="Q36" s="16" t="s">
        <v>73</v>
      </c>
      <c r="R36" s="29"/>
      <c r="S36" s="29"/>
      <c r="T36" s="29"/>
      <c r="U36" s="29"/>
      <c r="V36" s="29"/>
      <c r="W36" s="29">
        <v>3.35</v>
      </c>
      <c r="X36" s="29">
        <v>0.88</v>
      </c>
      <c r="Y36" s="29">
        <v>1.26</v>
      </c>
      <c r="Z36" s="48">
        <v>0</v>
      </c>
      <c r="AA36" s="18"/>
      <c r="AB36" s="19"/>
      <c r="AC36" s="63"/>
      <c r="AD36" s="218">
        <v>0</v>
      </c>
    </row>
    <row r="37" spans="1:30" ht="12" customHeight="1">
      <c r="A37" s="16" t="s">
        <v>74</v>
      </c>
      <c r="B37" s="6"/>
      <c r="C37" s="6"/>
      <c r="D37" s="6"/>
      <c r="E37" s="6"/>
      <c r="F37" s="29"/>
      <c r="G37" s="29"/>
      <c r="H37" s="29"/>
      <c r="I37" s="29"/>
      <c r="J37" s="29"/>
      <c r="K37" s="30"/>
      <c r="L37" s="29">
        <v>-214</v>
      </c>
      <c r="M37" s="29">
        <v>0</v>
      </c>
      <c r="N37" s="275">
        <v>0</v>
      </c>
      <c r="O37" s="6"/>
      <c r="P37" s="6"/>
      <c r="Q37" s="16" t="s">
        <v>75</v>
      </c>
      <c r="R37" s="29"/>
      <c r="S37" s="29"/>
      <c r="T37" s="29">
        <v>97.08</v>
      </c>
      <c r="U37" s="29">
        <v>160.26</v>
      </c>
      <c r="V37" s="29">
        <v>205.82</v>
      </c>
      <c r="W37" s="29">
        <v>26.04</v>
      </c>
      <c r="X37" s="29">
        <v>28.13</v>
      </c>
      <c r="Y37" s="29">
        <v>19.8</v>
      </c>
      <c r="Z37" s="48">
        <v>13.18</v>
      </c>
      <c r="AA37" s="18">
        <v>16.09</v>
      </c>
      <c r="AB37" s="19">
        <v>23.53</v>
      </c>
      <c r="AC37" s="63">
        <v>45.77</v>
      </c>
      <c r="AD37" s="218">
        <v>27.75</v>
      </c>
    </row>
    <row r="38" spans="1:30" ht="12" customHeight="1">
      <c r="A38" s="16" t="s">
        <v>76</v>
      </c>
      <c r="B38" s="29"/>
      <c r="C38" s="29"/>
      <c r="D38" s="29"/>
      <c r="E38" s="29">
        <v>10</v>
      </c>
      <c r="F38" s="29">
        <v>-57.44</v>
      </c>
      <c r="G38" s="29">
        <v>16.79</v>
      </c>
      <c r="H38" s="29">
        <v>9.48</v>
      </c>
      <c r="I38" s="29">
        <v>9.9600000000000009</v>
      </c>
      <c r="J38" s="29">
        <v>-3.05</v>
      </c>
      <c r="K38" s="30">
        <v>31.23</v>
      </c>
      <c r="L38" s="29">
        <v>37.869999999999997</v>
      </c>
      <c r="M38" s="29">
        <v>4.68</v>
      </c>
      <c r="N38" s="275">
        <v>-49.97</v>
      </c>
      <c r="O38" s="6"/>
      <c r="P38" s="6"/>
      <c r="Q38" s="16" t="s">
        <v>77</v>
      </c>
      <c r="R38" s="29"/>
      <c r="S38" s="29"/>
      <c r="T38" s="29"/>
      <c r="U38" s="29"/>
      <c r="V38" s="29"/>
      <c r="W38" s="29"/>
      <c r="X38" s="29"/>
      <c r="Y38" s="29">
        <v>45</v>
      </c>
      <c r="Z38" s="48">
        <v>131</v>
      </c>
      <c r="AA38" s="18">
        <v>3</v>
      </c>
      <c r="AB38" s="19">
        <v>282.66000000000003</v>
      </c>
      <c r="AC38" s="63">
        <v>412.63</v>
      </c>
      <c r="AD38" s="218">
        <v>478.68</v>
      </c>
    </row>
    <row r="39" spans="1:30" ht="12" customHeight="1">
      <c r="A39" s="21" t="s">
        <v>78</v>
      </c>
      <c r="B39" s="49"/>
      <c r="C39" s="49"/>
      <c r="D39" s="50">
        <f>D34+D36+D38</f>
        <v>0</v>
      </c>
      <c r="E39" s="50">
        <f>E34+E36+E38</f>
        <v>-18.899999999999999</v>
      </c>
      <c r="F39" s="50">
        <f>F34+F36+F38</f>
        <v>92.16</v>
      </c>
      <c r="G39" s="50">
        <f>G34+G36+G38</f>
        <v>5563.69</v>
      </c>
      <c r="H39" s="50">
        <f>H34+H36+H38</f>
        <v>-17.649999999999999</v>
      </c>
      <c r="I39" s="50">
        <v>-18.54</v>
      </c>
      <c r="J39" s="50">
        <f>SUM(J34:J38)</f>
        <v>7.54</v>
      </c>
      <c r="K39" s="51">
        <f>SUM(K34:K38)</f>
        <v>-58.039999999999992</v>
      </c>
      <c r="L39" s="200">
        <f>SUM(L34:L38)</f>
        <v>-67.87</v>
      </c>
      <c r="M39" s="200">
        <f>SUM(M34:M38)</f>
        <v>-8.7000000000000011</v>
      </c>
      <c r="N39" s="240">
        <f>SUM(N34:N38)</f>
        <v>107.54999999999998</v>
      </c>
      <c r="O39" s="6"/>
      <c r="P39" s="6"/>
      <c r="Q39" s="16" t="s">
        <v>79</v>
      </c>
      <c r="R39" s="29"/>
      <c r="S39" s="29"/>
      <c r="T39" s="29">
        <v>168.6</v>
      </c>
      <c r="U39" s="29">
        <v>237.5</v>
      </c>
      <c r="V39" s="29">
        <v>302.92</v>
      </c>
      <c r="W39" s="29">
        <v>117.83</v>
      </c>
      <c r="X39" s="29">
        <v>135.38999999999999</v>
      </c>
      <c r="Y39" s="29">
        <v>139.29</v>
      </c>
      <c r="Z39" s="48">
        <v>231.74</v>
      </c>
      <c r="AA39" s="18">
        <v>343.72</v>
      </c>
      <c r="AB39" s="19">
        <v>371.17</v>
      </c>
      <c r="AC39" s="63">
        <v>536.35</v>
      </c>
      <c r="AD39" s="218">
        <v>755.46</v>
      </c>
    </row>
    <row r="40" spans="1:30" ht="12" customHeight="1">
      <c r="A40" s="21" t="s">
        <v>80</v>
      </c>
      <c r="B40" s="50"/>
      <c r="C40" s="50"/>
      <c r="D40" s="52">
        <f>D30+D39</f>
        <v>-94.999999999999005</v>
      </c>
      <c r="E40" s="52">
        <f>E30+E39</f>
        <v>104.98999999999967</v>
      </c>
      <c r="F40" s="52">
        <f>F30+F39</f>
        <v>371.65999999999985</v>
      </c>
      <c r="G40" s="52">
        <f>G30+G39</f>
        <v>6063.16</v>
      </c>
      <c r="H40" s="52">
        <f>H30+H39</f>
        <v>360.42999999999944</v>
      </c>
      <c r="I40" s="52">
        <v>-33.61</v>
      </c>
      <c r="J40" s="52">
        <f>J30+J39</f>
        <v>161.70000000000064</v>
      </c>
      <c r="K40" s="53">
        <f>K30+K39</f>
        <v>264.55000000000064</v>
      </c>
      <c r="L40" s="188">
        <f>L30+L39</f>
        <v>60.380000000000024</v>
      </c>
      <c r="M40" s="188">
        <f>M30+M39</f>
        <v>-157.44000000000003</v>
      </c>
      <c r="N40" s="236">
        <f>N30+N39</f>
        <v>-120.21000000000004</v>
      </c>
      <c r="O40" s="6"/>
      <c r="P40" s="6"/>
      <c r="Q40" s="54"/>
      <c r="R40" s="6"/>
      <c r="S40" s="6"/>
      <c r="T40" s="6"/>
      <c r="U40" s="6"/>
      <c r="V40" s="55"/>
      <c r="W40" s="6"/>
      <c r="X40" s="6"/>
      <c r="Y40" s="6"/>
      <c r="Z40" s="6"/>
      <c r="AA40" s="18"/>
      <c r="AB40" s="19"/>
      <c r="AC40" s="63"/>
      <c r="AD40" s="218"/>
    </row>
    <row r="41" spans="1:30" ht="12" customHeight="1">
      <c r="A41" s="3" t="s">
        <v>81</v>
      </c>
      <c r="B41" s="29"/>
      <c r="C41" s="29"/>
      <c r="D41" s="29"/>
      <c r="E41" s="29"/>
      <c r="F41" s="29"/>
      <c r="G41" s="29"/>
      <c r="H41" s="29"/>
      <c r="I41" s="29"/>
      <c r="J41" s="29"/>
      <c r="K41" s="30"/>
      <c r="L41" s="29"/>
      <c r="M41" s="29"/>
      <c r="N41" s="237"/>
      <c r="O41" s="6"/>
      <c r="P41" s="6"/>
      <c r="Q41" s="16" t="s">
        <v>82</v>
      </c>
      <c r="R41" s="29"/>
      <c r="S41" s="29"/>
      <c r="T41" s="29"/>
      <c r="U41" s="29"/>
      <c r="V41" s="29"/>
      <c r="W41" s="29">
        <v>2.23</v>
      </c>
      <c r="X41" s="29">
        <v>1.33</v>
      </c>
      <c r="Y41" s="29">
        <v>1.96</v>
      </c>
      <c r="Z41" s="56">
        <v>0</v>
      </c>
      <c r="AA41" s="18">
        <v>0</v>
      </c>
      <c r="AB41" s="19">
        <v>50.6</v>
      </c>
      <c r="AC41" s="63">
        <v>2975.37</v>
      </c>
      <c r="AD41" s="218">
        <v>3081.77</v>
      </c>
    </row>
    <row r="42" spans="1:30" ht="12" customHeight="1">
      <c r="A42" s="16" t="s">
        <v>83</v>
      </c>
      <c r="B42" s="57"/>
      <c r="C42" s="57"/>
      <c r="D42" s="57"/>
      <c r="E42" s="57">
        <v>80.959999999999994</v>
      </c>
      <c r="F42" s="57">
        <v>-34.53</v>
      </c>
      <c r="G42" s="20">
        <v>-41.2</v>
      </c>
      <c r="H42" s="57">
        <v>-78.86</v>
      </c>
      <c r="I42" s="57">
        <v>88.82</v>
      </c>
      <c r="J42" s="57">
        <v>59.11</v>
      </c>
      <c r="K42" s="58">
        <f>-59.03-0.47</f>
        <v>-59.5</v>
      </c>
      <c r="L42" s="57">
        <f>205.94-24.29</f>
        <v>181.65</v>
      </c>
      <c r="M42" s="57">
        <f>69.8-6.84</f>
        <v>62.959999999999994</v>
      </c>
      <c r="N42" s="278">
        <f>(-13.59+2.41)</f>
        <v>-11.18</v>
      </c>
      <c r="O42" s="6"/>
      <c r="P42" s="6"/>
      <c r="Q42" s="54"/>
      <c r="R42" s="6"/>
      <c r="S42" s="6"/>
      <c r="T42" s="6"/>
      <c r="U42" s="6"/>
      <c r="V42" s="55"/>
      <c r="W42" s="6"/>
      <c r="X42" s="6"/>
      <c r="Y42" s="6"/>
      <c r="Z42" s="6"/>
      <c r="AA42" s="29"/>
      <c r="AB42" s="33"/>
      <c r="AC42" s="29"/>
      <c r="AD42" s="221"/>
    </row>
    <row r="43" spans="1:30" ht="12" customHeight="1">
      <c r="A43" s="16" t="s">
        <v>84</v>
      </c>
      <c r="B43" s="29"/>
      <c r="C43" s="29"/>
      <c r="D43" s="29">
        <v>0</v>
      </c>
      <c r="E43" s="29">
        <v>6.11</v>
      </c>
      <c r="F43" s="29">
        <v>2.85</v>
      </c>
      <c r="G43" s="29">
        <v>0.11</v>
      </c>
      <c r="H43" s="29">
        <v>0</v>
      </c>
      <c r="I43" s="29">
        <v>0</v>
      </c>
      <c r="J43" s="29">
        <v>0</v>
      </c>
      <c r="K43" s="30">
        <f>0.48-0.17</f>
        <v>0.30999999999999994</v>
      </c>
      <c r="L43" s="29">
        <f>-1.26+0.44</f>
        <v>-0.82000000000000006</v>
      </c>
      <c r="M43" s="29">
        <f>-5.32+1.86</f>
        <v>-3.46</v>
      </c>
      <c r="N43" s="275">
        <f>(-1.04+0.36)</f>
        <v>-0.68</v>
      </c>
      <c r="O43" s="6"/>
      <c r="P43" s="6"/>
      <c r="Q43" s="21" t="s">
        <v>85</v>
      </c>
      <c r="R43" s="22">
        <f t="shared" ref="R43:S43" si="28">SUM(R44:R46)</f>
        <v>0</v>
      </c>
      <c r="S43" s="22">
        <f t="shared" si="28"/>
        <v>0</v>
      </c>
      <c r="T43" s="22">
        <f t="shared" ref="T43:AD43" si="29">SUM(T44:T49)</f>
        <v>2817.6</v>
      </c>
      <c r="U43" s="22">
        <f t="shared" si="29"/>
        <v>2859.28</v>
      </c>
      <c r="V43" s="22">
        <f t="shared" si="29"/>
        <v>2593.3000000000002</v>
      </c>
      <c r="W43" s="22">
        <f t="shared" si="29"/>
        <v>1050.71</v>
      </c>
      <c r="X43" s="22">
        <f t="shared" si="29"/>
        <v>1802.3000000000002</v>
      </c>
      <c r="Y43" s="22">
        <f t="shared" si="29"/>
        <v>1434.8500000000001</v>
      </c>
      <c r="Z43" s="23">
        <f t="shared" si="29"/>
        <v>1908.0700000000002</v>
      </c>
      <c r="AA43" s="22">
        <f t="shared" si="29"/>
        <v>2740.2</v>
      </c>
      <c r="AB43" s="25">
        <f t="shared" si="29"/>
        <v>3375.95</v>
      </c>
      <c r="AC43" s="196">
        <f t="shared" si="29"/>
        <v>6614.93</v>
      </c>
      <c r="AD43" s="219">
        <f t="shared" si="29"/>
        <v>6912.48</v>
      </c>
    </row>
    <row r="44" spans="1:30" ht="12" customHeight="1">
      <c r="A44" s="3" t="s">
        <v>86</v>
      </c>
      <c r="B44" s="57"/>
      <c r="C44" s="57"/>
      <c r="D44" s="57"/>
      <c r="E44" s="20">
        <v>87.07</v>
      </c>
      <c r="F44" s="57">
        <v>-31.68</v>
      </c>
      <c r="G44" s="59">
        <v>-41</v>
      </c>
      <c r="H44" s="57">
        <v>-78.86</v>
      </c>
      <c r="I44" s="60">
        <v>88.82</v>
      </c>
      <c r="J44" s="61">
        <f t="shared" ref="J44:K44" si="30">SUM(J42:J43)</f>
        <v>59.11</v>
      </c>
      <c r="K44" s="30">
        <f t="shared" si="30"/>
        <v>-59.19</v>
      </c>
      <c r="L44" s="29">
        <f>SUM(L42:L43)</f>
        <v>180.83</v>
      </c>
      <c r="M44" s="29">
        <f>SUM(M42:M43)</f>
        <v>59.499999999999993</v>
      </c>
      <c r="N44" s="275">
        <f>SUM(N42:N43)</f>
        <v>-11.86</v>
      </c>
      <c r="O44" s="6"/>
      <c r="P44" s="6"/>
      <c r="Q44" s="62" t="s">
        <v>87</v>
      </c>
      <c r="R44" s="13"/>
      <c r="S44" s="13"/>
      <c r="T44" s="13"/>
      <c r="U44" s="13"/>
      <c r="V44" s="13"/>
      <c r="W44" s="13"/>
      <c r="X44" s="13"/>
      <c r="Y44" s="13"/>
      <c r="Z44" s="14"/>
      <c r="AA44" s="29"/>
      <c r="AB44" s="33"/>
      <c r="AC44" s="29"/>
      <c r="AD44" s="221"/>
    </row>
    <row r="45" spans="1:30" ht="12" customHeight="1">
      <c r="A45" s="21" t="s">
        <v>88</v>
      </c>
      <c r="B45" s="50"/>
      <c r="C45" s="50"/>
      <c r="D45" s="52"/>
      <c r="E45" s="52">
        <f t="shared" ref="E45:M45" si="31">SUM(E40+E44)</f>
        <v>192.05999999999966</v>
      </c>
      <c r="F45" s="52">
        <f t="shared" si="31"/>
        <v>339.97999999999985</v>
      </c>
      <c r="G45" s="52">
        <f t="shared" si="31"/>
        <v>6022.16</v>
      </c>
      <c r="H45" s="52">
        <f t="shared" si="31"/>
        <v>281.56999999999942</v>
      </c>
      <c r="I45" s="52">
        <f t="shared" si="31"/>
        <v>55.209999999999994</v>
      </c>
      <c r="J45" s="52">
        <f t="shared" si="31"/>
        <v>220.81000000000063</v>
      </c>
      <c r="K45" s="53">
        <f t="shared" si="31"/>
        <v>205.36000000000064</v>
      </c>
      <c r="L45" s="188">
        <f>SUM(L40+L44)</f>
        <v>241.21000000000004</v>
      </c>
      <c r="M45" s="188">
        <f t="shared" si="31"/>
        <v>-97.940000000000026</v>
      </c>
      <c r="N45" s="236">
        <f t="shared" ref="N45" si="32">SUM(N40+N44)</f>
        <v>-132.07000000000005</v>
      </c>
      <c r="O45" s="6"/>
      <c r="P45" s="6"/>
      <c r="Q45" s="62" t="s">
        <v>89</v>
      </c>
      <c r="R45" s="13"/>
      <c r="S45" s="13"/>
      <c r="T45" s="13">
        <v>0</v>
      </c>
      <c r="U45" s="13">
        <v>0</v>
      </c>
      <c r="V45" s="13">
        <v>0</v>
      </c>
      <c r="W45" s="13">
        <v>0</v>
      </c>
      <c r="X45" s="13">
        <v>1.95</v>
      </c>
      <c r="Y45" s="13">
        <v>2.69</v>
      </c>
      <c r="Z45" s="14">
        <v>2.2999999999999998</v>
      </c>
      <c r="AA45" s="18">
        <v>2.2599999999999998</v>
      </c>
      <c r="AB45" s="19">
        <v>2.2999999999999998</v>
      </c>
      <c r="AC45" s="63">
        <v>0</v>
      </c>
      <c r="AD45" s="218">
        <v>0</v>
      </c>
    </row>
    <row r="46" spans="1:30" ht="12" customHeight="1">
      <c r="A46" s="16"/>
      <c r="B46" s="63"/>
      <c r="C46" s="63"/>
      <c r="D46" s="63"/>
      <c r="E46" s="63"/>
      <c r="F46" s="63"/>
      <c r="G46" s="63"/>
      <c r="H46" s="63"/>
      <c r="I46" s="40"/>
      <c r="J46" s="63"/>
      <c r="K46" s="48"/>
      <c r="L46" s="29"/>
      <c r="M46" s="29"/>
      <c r="N46" s="237"/>
      <c r="O46" s="6"/>
      <c r="P46" s="6"/>
      <c r="Q46" s="62" t="s">
        <v>90</v>
      </c>
      <c r="R46" s="13"/>
      <c r="S46" s="13"/>
      <c r="T46" s="13">
        <v>609.91</v>
      </c>
      <c r="U46" s="13">
        <v>705.82</v>
      </c>
      <c r="V46" s="13">
        <f>678.1+3.7</f>
        <v>681.80000000000007</v>
      </c>
      <c r="W46" s="13">
        <f>512.7+6.7</f>
        <v>519.40000000000009</v>
      </c>
      <c r="X46" s="13">
        <f>8.9+483.7</f>
        <v>492.59999999999997</v>
      </c>
      <c r="Y46" s="13">
        <v>620.52</v>
      </c>
      <c r="Z46" s="14">
        <f>11.88+846.08</f>
        <v>857.96</v>
      </c>
      <c r="AA46" s="18">
        <f>19.11+766.4</f>
        <v>785.51</v>
      </c>
      <c r="AB46" s="19">
        <f>8.56+739.71</f>
        <v>748.27</v>
      </c>
      <c r="AC46" s="63">
        <f>13.22+813.93</f>
        <v>827.15</v>
      </c>
      <c r="AD46" s="218">
        <f>5.91+661.26</f>
        <v>667.17</v>
      </c>
    </row>
    <row r="47" spans="1:30" ht="12" customHeight="1">
      <c r="A47" s="3" t="s">
        <v>91</v>
      </c>
      <c r="B47" s="57"/>
      <c r="C47" s="12"/>
      <c r="D47" s="12"/>
      <c r="E47" s="12"/>
      <c r="F47" s="12"/>
      <c r="G47" s="12"/>
      <c r="H47" s="12"/>
      <c r="I47" s="32"/>
      <c r="J47" s="12"/>
      <c r="K47" s="48"/>
      <c r="L47" s="29"/>
      <c r="M47" s="29"/>
      <c r="N47" s="237"/>
      <c r="O47" s="6"/>
      <c r="P47" s="6"/>
      <c r="Q47" s="62" t="s">
        <v>92</v>
      </c>
      <c r="R47" s="13"/>
      <c r="S47" s="13"/>
      <c r="T47" s="13">
        <v>1538.76</v>
      </c>
      <c r="U47" s="13">
        <v>1490.11</v>
      </c>
      <c r="V47" s="13">
        <v>1182.0899999999999</v>
      </c>
      <c r="W47" s="13">
        <v>260.17</v>
      </c>
      <c r="X47" s="13">
        <v>944.16</v>
      </c>
      <c r="Y47" s="13">
        <v>288.27</v>
      </c>
      <c r="Z47" s="14">
        <v>149.08000000000001</v>
      </c>
      <c r="AA47" s="18">
        <v>175.31</v>
      </c>
      <c r="AB47" s="19">
        <v>209.91</v>
      </c>
      <c r="AC47" s="63">
        <v>358.88</v>
      </c>
      <c r="AD47" s="218">
        <v>204.11</v>
      </c>
    </row>
    <row r="48" spans="1:30" ht="12" customHeight="1">
      <c r="A48" s="3" t="s">
        <v>260</v>
      </c>
      <c r="B48" s="57"/>
      <c r="C48" s="12"/>
      <c r="D48" s="61">
        <v>-9.1</v>
      </c>
      <c r="E48" s="61">
        <v>11.09</v>
      </c>
      <c r="F48" s="61">
        <v>25.03</v>
      </c>
      <c r="G48" s="61">
        <v>44.72</v>
      </c>
      <c r="H48" s="61">
        <v>34.28</v>
      </c>
      <c r="I48" s="64">
        <v>-1.1000000000000001</v>
      </c>
      <c r="J48" s="61">
        <v>14.23</v>
      </c>
      <c r="K48" s="64">
        <v>24.34</v>
      </c>
      <c r="L48" s="61">
        <v>10.68</v>
      </c>
      <c r="M48" s="61">
        <v>-13.46</v>
      </c>
      <c r="N48" s="227">
        <v>-20.05</v>
      </c>
      <c r="O48" s="6"/>
      <c r="P48" s="6"/>
      <c r="Q48" s="62" t="s">
        <v>94</v>
      </c>
      <c r="R48" s="13"/>
      <c r="S48" s="13"/>
      <c r="T48" s="13">
        <v>469.83</v>
      </c>
      <c r="U48" s="13">
        <v>445.82</v>
      </c>
      <c r="V48" s="13">
        <v>418.24</v>
      </c>
      <c r="W48" s="13">
        <v>175.81</v>
      </c>
      <c r="X48" s="13">
        <v>181.94</v>
      </c>
      <c r="Y48" s="13">
        <v>189.68</v>
      </c>
      <c r="Z48" s="14">
        <v>181.87</v>
      </c>
      <c r="AA48" s="18">
        <v>182.46</v>
      </c>
      <c r="AB48" s="19">
        <v>179.94</v>
      </c>
      <c r="AC48" s="63">
        <v>174.49</v>
      </c>
      <c r="AD48" s="218">
        <v>172</v>
      </c>
    </row>
    <row r="49" spans="1:30" ht="12" customHeight="1">
      <c r="A49" s="3" t="s">
        <v>261</v>
      </c>
      <c r="B49" s="57"/>
      <c r="C49" s="12"/>
      <c r="D49" s="61"/>
      <c r="E49" s="61">
        <v>-1.69</v>
      </c>
      <c r="F49" s="61">
        <v>8.25</v>
      </c>
      <c r="G49" s="61">
        <v>498.14</v>
      </c>
      <c r="H49" s="61">
        <v>-1.58</v>
      </c>
      <c r="I49" s="64">
        <v>-1.7</v>
      </c>
      <c r="J49" s="61">
        <v>0.68</v>
      </c>
      <c r="K49" s="64">
        <v>0</v>
      </c>
      <c r="L49" s="61">
        <v>-6.12</v>
      </c>
      <c r="M49" s="61">
        <v>-0.78</v>
      </c>
      <c r="N49" s="227">
        <v>9.73</v>
      </c>
      <c r="O49" s="6"/>
      <c r="P49" s="6"/>
      <c r="Q49" s="62" t="s">
        <v>96</v>
      </c>
      <c r="R49" s="13"/>
      <c r="S49" s="13"/>
      <c r="T49" s="13">
        <v>199.1</v>
      </c>
      <c r="U49" s="13">
        <v>217.53</v>
      </c>
      <c r="V49" s="13">
        <v>311.17</v>
      </c>
      <c r="W49" s="13">
        <v>95.33</v>
      </c>
      <c r="X49" s="13">
        <v>181.65</v>
      </c>
      <c r="Y49" s="13">
        <v>333.69</v>
      </c>
      <c r="Z49" s="14">
        <v>716.86</v>
      </c>
      <c r="AA49" s="18">
        <v>1594.66</v>
      </c>
      <c r="AB49" s="19">
        <v>2235.5300000000002</v>
      </c>
      <c r="AC49" s="63">
        <v>5254.41</v>
      </c>
      <c r="AD49" s="218">
        <v>5869.2</v>
      </c>
    </row>
    <row r="50" spans="1:30" ht="12" customHeight="1" thickBot="1">
      <c r="A50" s="65" t="s">
        <v>262</v>
      </c>
      <c r="B50" s="66"/>
      <c r="C50" s="67"/>
      <c r="D50" s="68"/>
      <c r="E50" s="68">
        <v>9.4</v>
      </c>
      <c r="F50" s="68">
        <v>33.28</v>
      </c>
      <c r="G50" s="68">
        <v>542.86</v>
      </c>
      <c r="H50" s="68">
        <v>32.700000000000003</v>
      </c>
      <c r="I50" s="69">
        <v>-2.7</v>
      </c>
      <c r="J50" s="68">
        <f>J48+J49</f>
        <v>14.91</v>
      </c>
      <c r="K50" s="70">
        <f>SUM(K48:K49)</f>
        <v>24.34</v>
      </c>
      <c r="L50" s="192">
        <f>SUM(L48:L49)</f>
        <v>4.5599999999999996</v>
      </c>
      <c r="M50" s="192">
        <f>SUM(M48:M49)</f>
        <v>-14.24</v>
      </c>
      <c r="N50" s="241">
        <v>-10.32</v>
      </c>
      <c r="O50" s="6"/>
      <c r="P50" s="6"/>
      <c r="Q50" s="54"/>
      <c r="R50" s="6"/>
      <c r="S50" s="6"/>
      <c r="T50" s="6"/>
      <c r="U50" s="6"/>
      <c r="V50" s="55"/>
      <c r="W50" s="6"/>
      <c r="X50" s="6"/>
      <c r="Y50" s="6"/>
      <c r="Z50" s="6"/>
      <c r="AA50" s="31"/>
      <c r="AB50" s="71"/>
      <c r="AC50" s="29"/>
      <c r="AD50" s="221"/>
    </row>
    <row r="51" spans="1:30" ht="12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225"/>
      <c r="O51" s="6"/>
      <c r="P51" s="6"/>
      <c r="Q51" s="21" t="s">
        <v>97</v>
      </c>
      <c r="R51" s="22">
        <f t="shared" ref="R51:AD51" si="33">(R30-R43-R9)</f>
        <v>0</v>
      </c>
      <c r="S51" s="22">
        <f t="shared" si="33"/>
        <v>0</v>
      </c>
      <c r="T51" s="22">
        <f t="shared" si="33"/>
        <v>-2071.84</v>
      </c>
      <c r="U51" s="22">
        <f t="shared" si="33"/>
        <v>-2192.6999999999998</v>
      </c>
      <c r="V51" s="22">
        <f t="shared" si="33"/>
        <v>-1697.36</v>
      </c>
      <c r="W51" s="22">
        <f t="shared" si="33"/>
        <v>-142.53000000000014</v>
      </c>
      <c r="X51" s="22">
        <f t="shared" si="33"/>
        <v>-33.469999999999658</v>
      </c>
      <c r="Y51" s="22">
        <f t="shared" si="33"/>
        <v>553.08999999999969</v>
      </c>
      <c r="Z51" s="23">
        <f t="shared" si="33"/>
        <v>147.58000000000015</v>
      </c>
      <c r="AA51" s="22">
        <f t="shared" si="33"/>
        <v>547.66000000000065</v>
      </c>
      <c r="AB51" s="25">
        <f t="shared" si="33"/>
        <v>2468.5100000000002</v>
      </c>
      <c r="AC51" s="196">
        <f t="shared" si="33"/>
        <v>3140.5499999999979</v>
      </c>
      <c r="AD51" s="219">
        <f t="shared" si="33"/>
        <v>2686.8200000000015</v>
      </c>
    </row>
    <row r="52" spans="1:30" ht="12" customHeight="1" thickBot="1">
      <c r="A52" s="2" t="s">
        <v>98</v>
      </c>
      <c r="B52" s="6"/>
      <c r="C52" s="6"/>
      <c r="D52" s="6"/>
      <c r="E52" s="6"/>
      <c r="F52" s="6"/>
      <c r="G52" s="6"/>
      <c r="H52" s="6"/>
      <c r="I52" s="6"/>
      <c r="J52" s="6"/>
      <c r="K52" s="2"/>
      <c r="L52" s="2"/>
      <c r="M52" s="2"/>
      <c r="N52" s="242"/>
      <c r="O52" s="6"/>
      <c r="P52" s="6"/>
      <c r="Q52" s="54"/>
      <c r="R52" s="6"/>
      <c r="S52" s="6"/>
      <c r="T52" s="6"/>
      <c r="U52" s="6"/>
      <c r="V52" s="55"/>
      <c r="W52" s="6"/>
      <c r="X52" s="6"/>
      <c r="Y52" s="6"/>
      <c r="Z52" s="6"/>
      <c r="AA52" s="29"/>
      <c r="AB52" s="33"/>
      <c r="AC52" s="29"/>
      <c r="AD52" s="221"/>
    </row>
    <row r="53" spans="1:30" ht="12" customHeight="1">
      <c r="A53" s="72" t="s">
        <v>99</v>
      </c>
      <c r="B53" s="73" t="s">
        <v>4</v>
      </c>
      <c r="C53" s="73" t="s">
        <v>5</v>
      </c>
      <c r="D53" s="73" t="s">
        <v>6</v>
      </c>
      <c r="E53" s="73" t="s">
        <v>7</v>
      </c>
      <c r="F53" s="73" t="s">
        <v>8</v>
      </c>
      <c r="G53" s="73" t="s">
        <v>9</v>
      </c>
      <c r="H53" s="73" t="s">
        <v>10</v>
      </c>
      <c r="I53" s="73" t="s">
        <v>11</v>
      </c>
      <c r="J53" s="74" t="s">
        <v>12</v>
      </c>
      <c r="K53" s="75" t="s">
        <v>13</v>
      </c>
      <c r="L53" s="193" t="s">
        <v>14</v>
      </c>
      <c r="M53" s="193" t="s">
        <v>259</v>
      </c>
      <c r="N53" s="243" t="s">
        <v>265</v>
      </c>
      <c r="O53" s="6"/>
      <c r="P53" s="6"/>
      <c r="Q53" s="16" t="s">
        <v>100</v>
      </c>
      <c r="R53" s="29"/>
      <c r="S53" s="29"/>
      <c r="T53" s="29"/>
      <c r="U53" s="29"/>
      <c r="V53" s="29">
        <v>6.73</v>
      </c>
      <c r="W53" s="29">
        <v>0.35</v>
      </c>
      <c r="X53" s="29">
        <v>0.74</v>
      </c>
      <c r="Y53" s="29">
        <v>0.75</v>
      </c>
      <c r="Z53" s="48">
        <v>1.5</v>
      </c>
      <c r="AA53" s="18">
        <v>2.48</v>
      </c>
      <c r="AB53" s="19">
        <v>7.95</v>
      </c>
      <c r="AC53" s="63">
        <v>9.6199999999999992</v>
      </c>
      <c r="AD53" s="218">
        <v>14.98</v>
      </c>
    </row>
    <row r="54" spans="1:30" ht="12" customHeight="1">
      <c r="A54" s="3" t="s">
        <v>101</v>
      </c>
      <c r="B54" s="29"/>
      <c r="C54" s="29"/>
      <c r="D54" s="29">
        <v>20.010000000000002</v>
      </c>
      <c r="E54" s="29">
        <v>-559.33000000000004</v>
      </c>
      <c r="F54" s="29">
        <v>-41.47</v>
      </c>
      <c r="G54" s="13">
        <v>165.06</v>
      </c>
      <c r="H54" s="13">
        <v>-87.45</v>
      </c>
      <c r="I54" s="13">
        <v>40.4</v>
      </c>
      <c r="J54" s="48">
        <v>44.25</v>
      </c>
      <c r="K54" s="76">
        <v>23.7</v>
      </c>
      <c r="L54" s="63">
        <v>-120.37</v>
      </c>
      <c r="M54" s="210">
        <v>312.33</v>
      </c>
      <c r="N54" s="218">
        <v>799.37</v>
      </c>
      <c r="O54" s="6"/>
      <c r="P54" s="6"/>
      <c r="Q54" s="16" t="s">
        <v>102</v>
      </c>
      <c r="R54" s="29"/>
      <c r="S54" s="29"/>
      <c r="T54" s="29">
        <v>95.77</v>
      </c>
      <c r="U54" s="29">
        <v>80.709999999999994</v>
      </c>
      <c r="V54" s="29">
        <v>217.32</v>
      </c>
      <c r="W54" s="29">
        <v>93.99</v>
      </c>
      <c r="X54" s="29"/>
      <c r="Y54" s="29"/>
      <c r="Z54" s="48"/>
      <c r="AA54" s="18">
        <v>40.64</v>
      </c>
      <c r="AB54" s="19">
        <v>11.64</v>
      </c>
      <c r="AC54" s="63">
        <v>49.93</v>
      </c>
      <c r="AD54" s="218">
        <v>85.95</v>
      </c>
    </row>
    <row r="55" spans="1:30" ht="12" customHeight="1">
      <c r="A55" s="3" t="s">
        <v>103</v>
      </c>
      <c r="B55" s="29"/>
      <c r="C55" s="29"/>
      <c r="D55" s="29">
        <v>1020.02</v>
      </c>
      <c r="E55" s="29">
        <v>940.03</v>
      </c>
      <c r="F55" s="29">
        <v>2209.0500000000002</v>
      </c>
      <c r="G55" s="29">
        <v>547.70000000000005</v>
      </c>
      <c r="H55" s="29">
        <v>-22.81</v>
      </c>
      <c r="I55" s="29">
        <v>566.39</v>
      </c>
      <c r="J55" s="48">
        <v>-51.13</v>
      </c>
      <c r="K55" s="77">
        <v>270.95999999999998</v>
      </c>
      <c r="L55" s="13">
        <v>-315.33</v>
      </c>
      <c r="M55" s="211">
        <v>-1293.44</v>
      </c>
      <c r="N55" s="244">
        <v>-305.26</v>
      </c>
      <c r="O55" s="6"/>
      <c r="P55" s="6"/>
      <c r="Q55" s="16" t="s">
        <v>104</v>
      </c>
      <c r="R55" s="29"/>
      <c r="S55" s="29"/>
      <c r="T55" s="29">
        <v>190.54</v>
      </c>
      <c r="U55" s="29">
        <v>156.11000000000001</v>
      </c>
      <c r="V55" s="29">
        <v>813.58</v>
      </c>
      <c r="W55" s="29">
        <v>686.72</v>
      </c>
      <c r="X55" s="29">
        <v>601.17999999999995</v>
      </c>
      <c r="Y55" s="29">
        <v>571.51</v>
      </c>
      <c r="Z55" s="48">
        <v>520.21</v>
      </c>
      <c r="AA55" s="18">
        <v>454.5</v>
      </c>
      <c r="AB55" s="19">
        <v>392.41</v>
      </c>
      <c r="AC55" s="63">
        <v>342.02</v>
      </c>
      <c r="AD55" s="218">
        <v>317.31</v>
      </c>
    </row>
    <row r="56" spans="1:30" ht="12" customHeight="1">
      <c r="A56" s="16" t="s">
        <v>105</v>
      </c>
      <c r="B56" s="29"/>
      <c r="C56" s="29"/>
      <c r="D56" s="29">
        <v>-356.94</v>
      </c>
      <c r="E56" s="29">
        <v>-247</v>
      </c>
      <c r="F56" s="29">
        <v>-194.91</v>
      </c>
      <c r="G56" s="29">
        <v>-122.89</v>
      </c>
      <c r="H56" s="29">
        <v>-241.03</v>
      </c>
      <c r="I56" s="29">
        <v>-91.63</v>
      </c>
      <c r="J56" s="48">
        <v>-176.21</v>
      </c>
      <c r="K56" s="77">
        <v>138.49</v>
      </c>
      <c r="L56" s="13">
        <v>-524.12</v>
      </c>
      <c r="M56" s="211">
        <v>-437.95</v>
      </c>
      <c r="N56" s="244">
        <v>-117.29</v>
      </c>
      <c r="O56" s="6"/>
      <c r="P56" s="6"/>
      <c r="Q56" s="16" t="s">
        <v>106</v>
      </c>
      <c r="R56" s="29"/>
      <c r="S56" s="29"/>
      <c r="T56" s="29">
        <v>23.12</v>
      </c>
      <c r="U56" s="29">
        <v>44.56</v>
      </c>
      <c r="V56" s="29">
        <v>97.52</v>
      </c>
      <c r="W56" s="29">
        <v>91.83</v>
      </c>
      <c r="X56" s="29">
        <v>87.15</v>
      </c>
      <c r="Y56" s="29">
        <v>97.13</v>
      </c>
      <c r="Z56" s="48">
        <v>98.19</v>
      </c>
      <c r="AA56" s="18">
        <v>117.82</v>
      </c>
      <c r="AB56" s="19">
        <v>128.12</v>
      </c>
      <c r="AC56" s="63">
        <v>117.72</v>
      </c>
      <c r="AD56" s="218">
        <v>129.09</v>
      </c>
    </row>
    <row r="57" spans="1:30" ht="11.25" customHeight="1">
      <c r="A57" s="16" t="s">
        <v>107</v>
      </c>
      <c r="B57" s="29"/>
      <c r="C57" s="29"/>
      <c r="D57" s="29">
        <v>-1242.42</v>
      </c>
      <c r="E57" s="29">
        <v>-175.17</v>
      </c>
      <c r="F57" s="29">
        <v>-1795.17</v>
      </c>
      <c r="G57" s="29">
        <v>-677.32</v>
      </c>
      <c r="H57" s="29">
        <v>391.64</v>
      </c>
      <c r="I57" s="29">
        <v>-470.86</v>
      </c>
      <c r="J57" s="48">
        <v>206.75</v>
      </c>
      <c r="K57" s="77">
        <v>-553.48</v>
      </c>
      <c r="L57" s="13">
        <v>1272.1600000000001</v>
      </c>
      <c r="M57" s="211">
        <v>2218.4299999999998</v>
      </c>
      <c r="N57" s="244">
        <v>202.57</v>
      </c>
      <c r="O57" s="6"/>
      <c r="P57" s="6"/>
      <c r="Q57" s="16" t="s">
        <v>108</v>
      </c>
      <c r="R57" s="12"/>
      <c r="S57" s="12"/>
      <c r="T57" s="12"/>
      <c r="U57" s="12"/>
      <c r="V57" s="32"/>
      <c r="W57" s="13">
        <v>12.2</v>
      </c>
      <c r="X57" s="13">
        <v>15.44</v>
      </c>
      <c r="Y57" s="13">
        <v>20.62</v>
      </c>
      <c r="Z57" s="14">
        <v>18.46</v>
      </c>
      <c r="AA57" s="18">
        <v>19.34</v>
      </c>
      <c r="AB57" s="19">
        <v>17.850000000000001</v>
      </c>
      <c r="AC57" s="63">
        <v>0</v>
      </c>
      <c r="AD57" s="218">
        <v>0</v>
      </c>
    </row>
    <row r="58" spans="1:30" ht="12" customHeight="1">
      <c r="A58" s="3" t="s">
        <v>109</v>
      </c>
      <c r="B58" s="29">
        <f t="shared" ref="B58:L58" si="34">+B55+B56+B57</f>
        <v>0</v>
      </c>
      <c r="C58" s="29">
        <f t="shared" si="34"/>
        <v>0</v>
      </c>
      <c r="D58" s="29">
        <f t="shared" si="34"/>
        <v>-579.34000000000015</v>
      </c>
      <c r="E58" s="29">
        <f t="shared" si="34"/>
        <v>517.86</v>
      </c>
      <c r="F58" s="29">
        <f t="shared" si="34"/>
        <v>218.97000000000003</v>
      </c>
      <c r="G58" s="29">
        <f t="shared" si="34"/>
        <v>-252.51</v>
      </c>
      <c r="H58" s="63">
        <f t="shared" si="34"/>
        <v>127.80000000000001</v>
      </c>
      <c r="I58" s="63">
        <f t="shared" si="34"/>
        <v>3.8999999999999773</v>
      </c>
      <c r="J58" s="63">
        <f t="shared" si="34"/>
        <v>-20.590000000000003</v>
      </c>
      <c r="K58" s="63">
        <f t="shared" si="34"/>
        <v>-144.03000000000003</v>
      </c>
      <c r="L58" s="63">
        <f t="shared" si="34"/>
        <v>432.71000000000004</v>
      </c>
      <c r="M58" s="63">
        <f>+M55+M56+M57</f>
        <v>487.03999999999974</v>
      </c>
      <c r="N58" s="245">
        <f>SUM(N54:N57)</f>
        <v>579.39</v>
      </c>
      <c r="O58" s="6"/>
      <c r="P58" s="6"/>
      <c r="Q58" s="54" t="s">
        <v>110</v>
      </c>
      <c r="R58" s="6"/>
      <c r="S58" s="6"/>
      <c r="T58" s="6"/>
      <c r="U58" s="6"/>
      <c r="V58" s="55"/>
      <c r="W58" s="6"/>
      <c r="X58" s="6"/>
      <c r="Y58" s="6"/>
      <c r="Z58" s="6"/>
      <c r="AA58" s="63"/>
      <c r="AB58" s="78"/>
      <c r="AC58" s="63"/>
      <c r="AD58" s="218"/>
    </row>
    <row r="59" spans="1:30" ht="12" customHeight="1" thickBot="1">
      <c r="A59" s="65" t="s">
        <v>111</v>
      </c>
      <c r="B59" s="79">
        <f t="shared" ref="B59:I59" si="35">+B54+B58</f>
        <v>0</v>
      </c>
      <c r="C59" s="79">
        <f t="shared" si="35"/>
        <v>0</v>
      </c>
      <c r="D59" s="79">
        <f t="shared" si="35"/>
        <v>-559.33000000000015</v>
      </c>
      <c r="E59" s="79">
        <f t="shared" si="35"/>
        <v>-41.470000000000027</v>
      </c>
      <c r="F59" s="80">
        <f t="shared" si="35"/>
        <v>177.50000000000003</v>
      </c>
      <c r="G59" s="79">
        <f t="shared" si="35"/>
        <v>-87.449999999999989</v>
      </c>
      <c r="H59" s="79">
        <f t="shared" si="35"/>
        <v>40.350000000000009</v>
      </c>
      <c r="I59" s="79">
        <f t="shared" si="35"/>
        <v>44.299999999999976</v>
      </c>
      <c r="J59" s="80">
        <f t="shared" ref="J59:M59" si="36">J54+J58</f>
        <v>23.659999999999997</v>
      </c>
      <c r="K59" s="80">
        <f t="shared" si="36"/>
        <v>-120.33000000000003</v>
      </c>
      <c r="L59" s="201">
        <f t="shared" si="36"/>
        <v>312.34000000000003</v>
      </c>
      <c r="M59" s="201">
        <f t="shared" si="36"/>
        <v>799.36999999999966</v>
      </c>
      <c r="N59" s="246">
        <v>579.39</v>
      </c>
      <c r="O59" s="81"/>
      <c r="P59" s="6"/>
      <c r="Q59" s="16" t="s">
        <v>112</v>
      </c>
      <c r="R59" s="29"/>
      <c r="S59" s="29"/>
      <c r="T59" s="29"/>
      <c r="U59" s="29"/>
      <c r="V59" s="29"/>
      <c r="W59" s="29">
        <v>42.95</v>
      </c>
      <c r="X59" s="29">
        <v>45.33</v>
      </c>
      <c r="Y59" s="29">
        <v>47.77</v>
      </c>
      <c r="Z59" s="56">
        <v>0</v>
      </c>
      <c r="AA59" s="63">
        <v>0</v>
      </c>
      <c r="AB59" s="78"/>
      <c r="AC59" s="63">
        <v>514.14</v>
      </c>
      <c r="AD59" s="218">
        <v>437.11</v>
      </c>
    </row>
    <row r="60" spans="1:30" ht="12" customHeight="1" thickBot="1">
      <c r="A60" s="82"/>
      <c r="B60" s="83"/>
      <c r="C60" s="83"/>
      <c r="D60" s="83"/>
      <c r="E60" s="83"/>
      <c r="F60" s="83"/>
      <c r="G60" s="84"/>
      <c r="H60" s="84"/>
      <c r="I60" s="84"/>
      <c r="J60" s="83"/>
      <c r="K60" s="83"/>
      <c r="L60" s="194"/>
      <c r="M60" s="195"/>
      <c r="N60" s="247"/>
      <c r="O60" s="85"/>
      <c r="P60" s="6"/>
      <c r="Q60" s="54"/>
      <c r="R60" s="6"/>
      <c r="S60" s="6"/>
      <c r="T60" s="6"/>
      <c r="U60" s="6"/>
      <c r="V60" s="55"/>
      <c r="W60" s="6"/>
      <c r="X60" s="6"/>
      <c r="Y60" s="6"/>
      <c r="Z60" s="6"/>
      <c r="AA60" s="29"/>
      <c r="AB60" s="33"/>
      <c r="AC60" s="29"/>
      <c r="AD60" s="221"/>
    </row>
    <row r="61" spans="1:30" ht="12" customHeight="1">
      <c r="A61" s="86" t="s">
        <v>113</v>
      </c>
      <c r="B61" s="73" t="s">
        <v>4</v>
      </c>
      <c r="C61" s="73" t="s">
        <v>5</v>
      </c>
      <c r="D61" s="73" t="s">
        <v>6</v>
      </c>
      <c r="E61" s="73" t="s">
        <v>7</v>
      </c>
      <c r="F61" s="73" t="s">
        <v>8</v>
      </c>
      <c r="G61" s="73" t="s">
        <v>9</v>
      </c>
      <c r="H61" s="73" t="s">
        <v>10</v>
      </c>
      <c r="I61" s="73" t="s">
        <v>11</v>
      </c>
      <c r="J61" s="74" t="s">
        <v>12</v>
      </c>
      <c r="K61" s="74" t="s">
        <v>13</v>
      </c>
      <c r="L61" s="73" t="s">
        <v>14</v>
      </c>
      <c r="M61" s="212" t="s">
        <v>259</v>
      </c>
      <c r="N61" s="243" t="s">
        <v>265</v>
      </c>
      <c r="O61" s="6"/>
      <c r="P61" s="6"/>
      <c r="Q61" s="21" t="s">
        <v>114</v>
      </c>
      <c r="R61" s="22">
        <f t="shared" ref="R61:S61" si="37">SUM(R15:R24)+R30</f>
        <v>0</v>
      </c>
      <c r="S61" s="22">
        <f t="shared" si="37"/>
        <v>0</v>
      </c>
      <c r="T61" s="22">
        <f t="shared" ref="T61:U61" si="38">SUM(T15:T29)+T30</f>
        <v>10193.02</v>
      </c>
      <c r="U61" s="22">
        <f t="shared" si="38"/>
        <v>10336.32</v>
      </c>
      <c r="V61" s="22">
        <f t="shared" ref="V61:AC61" si="39">V14+V30+V41</f>
        <v>10330.580000000002</v>
      </c>
      <c r="W61" s="22">
        <f t="shared" si="39"/>
        <v>6174.81</v>
      </c>
      <c r="X61" s="22">
        <f t="shared" si="39"/>
        <v>6747.49</v>
      </c>
      <c r="Y61" s="22">
        <f t="shared" si="39"/>
        <v>6693.510000000002</v>
      </c>
      <c r="Z61" s="23">
        <f t="shared" si="39"/>
        <v>7738.8399999999983</v>
      </c>
      <c r="AA61" s="22">
        <f t="shared" si="39"/>
        <v>8451.64</v>
      </c>
      <c r="AB61" s="25">
        <f t="shared" si="39"/>
        <v>10510.160000000002</v>
      </c>
      <c r="AC61" s="22">
        <f t="shared" si="39"/>
        <v>16533.169999999998</v>
      </c>
      <c r="AD61" s="220">
        <f t="shared" ref="AD61" si="40">AD14+AD30+AD41</f>
        <v>17184.07</v>
      </c>
    </row>
    <row r="62" spans="1:30" ht="12" customHeight="1" thickBot="1">
      <c r="A62" s="21" t="s">
        <v>115</v>
      </c>
      <c r="B62" s="22" t="e">
        <f t="shared" ref="B62:E62" si="41">SUM(#REF!)</f>
        <v>#REF!</v>
      </c>
      <c r="C62" s="22" t="e">
        <f t="shared" si="41"/>
        <v>#REF!</v>
      </c>
      <c r="D62" s="22" t="e">
        <f t="shared" si="41"/>
        <v>#REF!</v>
      </c>
      <c r="E62" s="22" t="e">
        <f t="shared" si="41"/>
        <v>#REF!</v>
      </c>
      <c r="F62" s="22">
        <f t="shared" ref="F62:M62" si="42">F55</f>
        <v>2209.0500000000002</v>
      </c>
      <c r="G62" s="22">
        <f t="shared" si="42"/>
        <v>547.70000000000005</v>
      </c>
      <c r="H62" s="22">
        <f t="shared" si="42"/>
        <v>-22.81</v>
      </c>
      <c r="I62" s="22">
        <f t="shared" si="42"/>
        <v>566.39</v>
      </c>
      <c r="J62" s="23">
        <f t="shared" si="42"/>
        <v>-51.13</v>
      </c>
      <c r="K62" s="23">
        <f t="shared" si="42"/>
        <v>270.95999999999998</v>
      </c>
      <c r="L62" s="196">
        <f t="shared" si="42"/>
        <v>-315.33</v>
      </c>
      <c r="M62" s="196">
        <f t="shared" si="42"/>
        <v>-1293.44</v>
      </c>
      <c r="N62" s="219">
        <f>N55</f>
        <v>-305.26</v>
      </c>
      <c r="O62" s="88"/>
      <c r="P62" s="6"/>
      <c r="Q62" s="89" t="s">
        <v>116</v>
      </c>
      <c r="R62" s="79">
        <f>R56+R43+R10+R6+R53+R57+R54</f>
        <v>0</v>
      </c>
      <c r="S62" s="79">
        <f>S56+S43+S10+S6+S53+S57+S54</f>
        <v>0</v>
      </c>
      <c r="T62" s="79">
        <f>T56+T43+T10+T6+T53+T57+T54+T55</f>
        <v>10193.02</v>
      </c>
      <c r="U62" s="79">
        <f>U56+U43+U10+U6+U53+U57+U54+U55</f>
        <v>10336.32</v>
      </c>
      <c r="V62" s="79">
        <f>V56+V43+V10+V6+V53+V57+V54+V55</f>
        <v>10331.329999999998</v>
      </c>
      <c r="W62" s="79">
        <f>W56+W43+W10+W6+W53+W57+W54+W55+W59</f>
        <v>6174.86</v>
      </c>
      <c r="X62" s="79">
        <f t="shared" ref="X62:AC62" si="43">X56+X43+X10+X6+X53+X57+X54+X55+X7+X59</f>
        <v>6747.4800000000005</v>
      </c>
      <c r="Y62" s="79">
        <f t="shared" si="43"/>
        <v>6693.4700000000012</v>
      </c>
      <c r="Z62" s="80">
        <f t="shared" si="43"/>
        <v>7738.84</v>
      </c>
      <c r="AA62" s="79">
        <f t="shared" si="43"/>
        <v>8451.6400000000012</v>
      </c>
      <c r="AB62" s="90">
        <f t="shared" si="43"/>
        <v>10510.16</v>
      </c>
      <c r="AC62" s="79">
        <f t="shared" si="43"/>
        <v>16533.170000000002</v>
      </c>
      <c r="AD62" s="224">
        <f t="shared" ref="AD62" si="44">AD56+AD43+AD10+AD6+AD53+AD57+AD54+AD55+AD7+AD59</f>
        <v>17184.07</v>
      </c>
    </row>
    <row r="63" spans="1:30" ht="12" customHeight="1">
      <c r="A63" s="16" t="s">
        <v>117</v>
      </c>
      <c r="B63" s="91"/>
      <c r="C63" s="13">
        <f>-(S15-R15)</f>
        <v>0</v>
      </c>
      <c r="D63" s="13">
        <f>-261.33+3.88</f>
        <v>-257.45</v>
      </c>
      <c r="E63" s="13">
        <f>-156.85</f>
        <v>-156.85</v>
      </c>
      <c r="F63" s="13">
        <f>-170.2+15.49</f>
        <v>-154.70999999999998</v>
      </c>
      <c r="G63" s="13">
        <f>-2076.5+49.8</f>
        <v>-2026.7</v>
      </c>
      <c r="H63" s="13">
        <f>-93.67+18.36</f>
        <v>-75.31</v>
      </c>
      <c r="I63" s="13">
        <v>-129.80000000000001</v>
      </c>
      <c r="J63" s="14">
        <f>-128.45</f>
        <v>-128.44999999999999</v>
      </c>
      <c r="K63" s="48">
        <f>-121.28+3.31</f>
        <v>-117.97</v>
      </c>
      <c r="L63" s="29">
        <f>-180.89+6.25</f>
        <v>-174.64</v>
      </c>
      <c r="M63" s="29">
        <f>-286.07+166.07</f>
        <v>-120</v>
      </c>
      <c r="N63" s="221">
        <f>-128.06+28.46</f>
        <v>-99.6</v>
      </c>
      <c r="O63" s="6"/>
      <c r="P63" s="6"/>
      <c r="Q63" s="6"/>
      <c r="R63" s="6"/>
      <c r="S63" s="6"/>
      <c r="T63" s="6"/>
      <c r="U63" s="6"/>
      <c r="V63" s="55"/>
      <c r="W63" s="6"/>
      <c r="X63" s="6"/>
      <c r="Y63" s="6"/>
      <c r="Z63" s="6"/>
      <c r="AA63" s="6"/>
      <c r="AB63" s="6"/>
      <c r="AC63" s="6"/>
      <c r="AD63" s="225"/>
    </row>
    <row r="64" spans="1:30" ht="12" customHeight="1" thickBot="1">
      <c r="A64" s="89" t="s">
        <v>118</v>
      </c>
      <c r="B64" s="92" t="e">
        <f t="shared" ref="B64:M64" si="45">SUM(B62:B63)</f>
        <v>#REF!</v>
      </c>
      <c r="C64" s="79" t="e">
        <f t="shared" si="45"/>
        <v>#REF!</v>
      </c>
      <c r="D64" s="79" t="e">
        <f t="shared" si="45"/>
        <v>#REF!</v>
      </c>
      <c r="E64" s="79" t="e">
        <f t="shared" si="45"/>
        <v>#REF!</v>
      </c>
      <c r="F64" s="79">
        <f t="shared" si="45"/>
        <v>2054.34</v>
      </c>
      <c r="G64" s="79">
        <f t="shared" si="45"/>
        <v>-1479</v>
      </c>
      <c r="H64" s="79">
        <f t="shared" si="45"/>
        <v>-98.12</v>
      </c>
      <c r="I64" s="79">
        <f t="shared" si="45"/>
        <v>436.59</v>
      </c>
      <c r="J64" s="80">
        <f t="shared" si="45"/>
        <v>-179.57999999999998</v>
      </c>
      <c r="K64" s="80">
        <f t="shared" si="45"/>
        <v>152.98999999999998</v>
      </c>
      <c r="L64" s="201">
        <f t="shared" si="45"/>
        <v>-489.96999999999997</v>
      </c>
      <c r="M64" s="201">
        <f t="shared" si="45"/>
        <v>-1413.44</v>
      </c>
      <c r="N64" s="246">
        <f>SUM(N62:N63)</f>
        <v>-404.86</v>
      </c>
      <c r="O64" s="6"/>
      <c r="P64" s="2"/>
      <c r="Q64" s="2" t="s">
        <v>119</v>
      </c>
      <c r="R64" s="6"/>
      <c r="S64" s="6"/>
      <c r="T64" s="6"/>
      <c r="U64" s="6"/>
      <c r="V64" s="55"/>
      <c r="W64" s="6"/>
      <c r="X64" s="6"/>
      <c r="Y64" s="6"/>
      <c r="Z64" s="6"/>
      <c r="AA64" s="6"/>
      <c r="AB64" s="6"/>
      <c r="AC64" s="6"/>
      <c r="AD64" s="225"/>
    </row>
    <row r="65" spans="1:31" ht="12" customHeight="1">
      <c r="A65" s="6" t="s">
        <v>120</v>
      </c>
      <c r="B65" s="6"/>
      <c r="C65" s="6"/>
      <c r="D65" s="6"/>
      <c r="E65" s="6"/>
      <c r="F65" s="6"/>
      <c r="G65" s="24"/>
      <c r="H65" s="24"/>
      <c r="I65" s="24"/>
      <c r="J65" s="6"/>
      <c r="K65" s="6"/>
      <c r="L65" s="6"/>
      <c r="M65" s="83"/>
      <c r="N65" s="248"/>
      <c r="O65" s="93"/>
      <c r="P65" s="2"/>
      <c r="Q65" s="72" t="s">
        <v>121</v>
      </c>
      <c r="R65" s="94" t="s">
        <v>4</v>
      </c>
      <c r="S65" s="94" t="s">
        <v>5</v>
      </c>
      <c r="T65" s="73" t="s">
        <v>6</v>
      </c>
      <c r="U65" s="73" t="s">
        <v>7</v>
      </c>
      <c r="V65" s="73" t="s">
        <v>8</v>
      </c>
      <c r="W65" s="73" t="s">
        <v>9</v>
      </c>
      <c r="X65" s="74" t="s">
        <v>10</v>
      </c>
      <c r="Y65" s="73" t="s">
        <v>11</v>
      </c>
      <c r="Z65" s="74" t="s">
        <v>12</v>
      </c>
      <c r="AA65" s="74" t="s">
        <v>13</v>
      </c>
      <c r="AB65" s="87" t="s">
        <v>14</v>
      </c>
      <c r="AC65" s="87" t="s">
        <v>259</v>
      </c>
      <c r="AD65" s="226" t="s">
        <v>267</v>
      </c>
    </row>
    <row r="66" spans="1:31" ht="12" customHeight="1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213"/>
      <c r="N66" s="248"/>
      <c r="O66" s="95"/>
      <c r="P66" s="2"/>
      <c r="Q66" s="96" t="s">
        <v>122</v>
      </c>
      <c r="R66" s="61"/>
      <c r="S66" s="61"/>
      <c r="T66" s="61">
        <v>528.70000000000005</v>
      </c>
      <c r="U66" s="61">
        <v>1053.3</v>
      </c>
      <c r="V66" s="61">
        <v>1179.95</v>
      </c>
      <c r="W66" s="61">
        <v>924.8</v>
      </c>
      <c r="X66" s="64">
        <v>295.8</v>
      </c>
      <c r="Y66" s="97">
        <v>464.7</v>
      </c>
      <c r="Z66" s="64">
        <v>853.35</v>
      </c>
      <c r="AA66" s="61">
        <v>634.04999999999995</v>
      </c>
      <c r="AB66" s="98">
        <v>1632.5</v>
      </c>
      <c r="AC66" s="61">
        <v>1969.2</v>
      </c>
      <c r="AD66" s="227">
        <v>1670.75</v>
      </c>
      <c r="AE66" s="262" t="s">
        <v>268</v>
      </c>
    </row>
    <row r="67" spans="1:31" ht="12" customHeight="1">
      <c r="A67" s="99" t="s">
        <v>123</v>
      </c>
      <c r="B67" s="100"/>
      <c r="C67" s="100"/>
      <c r="D67" s="101">
        <v>111695680</v>
      </c>
      <c r="E67" s="101">
        <v>111695680</v>
      </c>
      <c r="F67" s="102">
        <v>111695680</v>
      </c>
      <c r="G67" s="102">
        <v>111695680</v>
      </c>
      <c r="H67" s="102">
        <v>111695680</v>
      </c>
      <c r="I67" s="102">
        <v>111695680</v>
      </c>
      <c r="J67" s="102">
        <v>111695680</v>
      </c>
      <c r="K67" s="103">
        <v>111695680</v>
      </c>
      <c r="L67" s="102">
        <v>111695680</v>
      </c>
      <c r="M67" s="102">
        <v>111695680</v>
      </c>
      <c r="N67" s="249">
        <v>111695680</v>
      </c>
      <c r="O67" s="95"/>
      <c r="P67" s="2"/>
      <c r="Q67" s="104" t="s">
        <v>124</v>
      </c>
      <c r="R67" s="52" t="e">
        <f t="shared" ref="R67:S67" si="46">#REF!</f>
        <v>#REF!</v>
      </c>
      <c r="S67" s="52" t="e">
        <f t="shared" si="46"/>
        <v>#REF!</v>
      </c>
      <c r="T67" s="52">
        <f>D48</f>
        <v>-9.1</v>
      </c>
      <c r="U67" s="52">
        <f>E48</f>
        <v>11.09</v>
      </c>
      <c r="V67" s="52">
        <f t="shared" ref="V67:AD67" si="47">F50</f>
        <v>33.28</v>
      </c>
      <c r="W67" s="52">
        <f t="shared" si="47"/>
        <v>542.86</v>
      </c>
      <c r="X67" s="52">
        <f t="shared" si="47"/>
        <v>32.700000000000003</v>
      </c>
      <c r="Y67" s="52">
        <f t="shared" si="47"/>
        <v>-2.7</v>
      </c>
      <c r="Z67" s="52">
        <f t="shared" si="47"/>
        <v>14.91</v>
      </c>
      <c r="AA67" s="52">
        <f t="shared" si="47"/>
        <v>24.34</v>
      </c>
      <c r="AB67" s="52">
        <f t="shared" si="47"/>
        <v>4.5599999999999996</v>
      </c>
      <c r="AC67" s="203">
        <f t="shared" si="47"/>
        <v>-14.24</v>
      </c>
      <c r="AD67" s="261">
        <f>AC67+N50-(-2.7)</f>
        <v>-21.860000000000003</v>
      </c>
      <c r="AE67" s="214" t="s">
        <v>266</v>
      </c>
    </row>
    <row r="68" spans="1:31" ht="12" customHeight="1">
      <c r="A68" s="16" t="s">
        <v>125</v>
      </c>
      <c r="B68" s="105">
        <f>B67*R66/1000000</f>
        <v>0</v>
      </c>
      <c r="C68" s="105">
        <f>C67*S66/1000000</f>
        <v>0</v>
      </c>
      <c r="D68" s="105">
        <f t="shared" ref="D68:L68" si="48">D67*T66/10000000</f>
        <v>5905.350601600001</v>
      </c>
      <c r="E68" s="105">
        <f t="shared" si="48"/>
        <v>11764.905974400001</v>
      </c>
      <c r="F68" s="105">
        <f t="shared" si="48"/>
        <v>13179.531761599999</v>
      </c>
      <c r="G68" s="105">
        <f t="shared" si="48"/>
        <v>10329.6164864</v>
      </c>
      <c r="H68" s="105">
        <f t="shared" si="48"/>
        <v>3303.9582144000001</v>
      </c>
      <c r="I68" s="105">
        <f t="shared" si="48"/>
        <v>5190.4982496000002</v>
      </c>
      <c r="J68" s="105">
        <f t="shared" si="48"/>
        <v>9531.5508527999991</v>
      </c>
      <c r="K68" s="105">
        <f t="shared" si="48"/>
        <v>7082.0645904000003</v>
      </c>
      <c r="L68" s="202">
        <f t="shared" si="48"/>
        <v>18234.319759999998</v>
      </c>
      <c r="M68" s="202">
        <v>21995</v>
      </c>
      <c r="N68" s="250">
        <f>N67*AD66/10000000</f>
        <v>18661.555735999998</v>
      </c>
      <c r="O68" s="95"/>
      <c r="P68" s="2"/>
      <c r="Q68" s="106" t="s">
        <v>126</v>
      </c>
      <c r="R68" s="107">
        <v>0</v>
      </c>
      <c r="S68" s="107">
        <v>0</v>
      </c>
      <c r="T68" s="107">
        <f t="shared" ref="T68:AD68" si="49">T6/(D67/10000000)</f>
        <v>211.62412010921102</v>
      </c>
      <c r="U68" s="107">
        <f t="shared" si="49"/>
        <v>222.1983876189303</v>
      </c>
      <c r="V68" s="107">
        <f t="shared" si="49"/>
        <v>246.01578145188785</v>
      </c>
      <c r="W68" s="107">
        <f t="shared" si="49"/>
        <v>294.91650885692269</v>
      </c>
      <c r="X68" s="108">
        <f t="shared" si="49"/>
        <v>311.51518124962399</v>
      </c>
      <c r="Y68" s="108">
        <f t="shared" si="49"/>
        <v>313.74176691524684</v>
      </c>
      <c r="Z68" s="108">
        <f t="shared" si="49"/>
        <v>332.94215138848705</v>
      </c>
      <c r="AA68" s="107">
        <f t="shared" si="49"/>
        <v>347.98391486582113</v>
      </c>
      <c r="AB68" s="107">
        <f t="shared" si="49"/>
        <v>356.24743947124904</v>
      </c>
      <c r="AC68" s="186">
        <f t="shared" si="49"/>
        <v>343.8145503926383</v>
      </c>
      <c r="AD68" s="228" t="s">
        <v>22</v>
      </c>
    </row>
    <row r="69" spans="1:31" ht="12" customHeight="1">
      <c r="A69" s="16" t="s">
        <v>127</v>
      </c>
      <c r="B69" s="105">
        <f t="shared" ref="B69:N69" si="50">R10</f>
        <v>0</v>
      </c>
      <c r="C69" s="105">
        <f t="shared" si="50"/>
        <v>0</v>
      </c>
      <c r="D69" s="105">
        <f t="shared" si="50"/>
        <v>4702.24</v>
      </c>
      <c r="E69" s="105">
        <f t="shared" si="50"/>
        <v>4713.7999999999993</v>
      </c>
      <c r="F69" s="105">
        <f t="shared" si="50"/>
        <v>3854.99</v>
      </c>
      <c r="G69" s="105">
        <f t="shared" si="50"/>
        <v>902.02</v>
      </c>
      <c r="H69" s="105">
        <f t="shared" si="50"/>
        <v>583.76</v>
      </c>
      <c r="I69" s="105">
        <f t="shared" si="50"/>
        <v>873.45</v>
      </c>
      <c r="J69" s="105">
        <f t="shared" si="50"/>
        <v>1315.56</v>
      </c>
      <c r="K69" s="105">
        <f t="shared" si="50"/>
        <v>1037.71</v>
      </c>
      <c r="L69" s="202">
        <f t="shared" si="50"/>
        <v>2481.54</v>
      </c>
      <c r="M69" s="202">
        <f t="shared" si="50"/>
        <v>4996.54</v>
      </c>
      <c r="N69" s="251">
        <f t="shared" si="50"/>
        <v>5489.91</v>
      </c>
      <c r="O69" s="88"/>
      <c r="P69" s="2"/>
      <c r="Q69" s="109" t="s">
        <v>128</v>
      </c>
      <c r="R69" s="34"/>
      <c r="S69" s="34"/>
      <c r="T69" s="34">
        <v>0</v>
      </c>
      <c r="U69" s="34">
        <v>0</v>
      </c>
      <c r="V69" s="34">
        <v>6</v>
      </c>
      <c r="W69" s="34">
        <v>7.5</v>
      </c>
      <c r="X69" s="35">
        <v>3</v>
      </c>
      <c r="Y69" s="35">
        <v>1</v>
      </c>
      <c r="Z69" s="35">
        <v>4</v>
      </c>
      <c r="AA69" s="110">
        <v>5</v>
      </c>
      <c r="AB69" s="110">
        <v>5</v>
      </c>
      <c r="AC69" s="185">
        <v>5</v>
      </c>
      <c r="AD69" s="229" t="s">
        <v>22</v>
      </c>
    </row>
    <row r="70" spans="1:31" ht="12" customHeight="1">
      <c r="A70" s="16" t="s">
        <v>129</v>
      </c>
      <c r="B70" s="105">
        <f t="shared" ref="B70:C70" si="51">R35</f>
        <v>0</v>
      </c>
      <c r="C70" s="105">
        <f t="shared" si="51"/>
        <v>0</v>
      </c>
      <c r="D70" s="105">
        <f t="shared" ref="D70:L70" si="52">T35+T34</f>
        <v>101.78999999999999</v>
      </c>
      <c r="E70" s="105">
        <f t="shared" si="52"/>
        <v>89.210000000000008</v>
      </c>
      <c r="F70" s="105">
        <f t="shared" si="52"/>
        <v>249.75</v>
      </c>
      <c r="G70" s="105">
        <f t="shared" si="52"/>
        <v>58.54</v>
      </c>
      <c r="H70" s="105">
        <f t="shared" si="52"/>
        <v>119.35</v>
      </c>
      <c r="I70" s="105">
        <f t="shared" si="52"/>
        <v>124.93</v>
      </c>
      <c r="J70" s="105">
        <f t="shared" si="52"/>
        <v>65.81</v>
      </c>
      <c r="K70" s="105">
        <f t="shared" si="52"/>
        <v>151.13</v>
      </c>
      <c r="L70" s="202">
        <f t="shared" si="52"/>
        <v>401.5</v>
      </c>
      <c r="M70" s="202">
        <f>AC35+AC34</f>
        <v>1000.6199999999999</v>
      </c>
      <c r="N70" s="251">
        <f>AD35+AD34</f>
        <v>726.02</v>
      </c>
      <c r="O70" s="95"/>
      <c r="P70" s="2"/>
      <c r="Q70" s="109" t="s">
        <v>130</v>
      </c>
      <c r="R70" s="107" t="e">
        <f t="shared" ref="R70:AD70" si="53">(R66/R67)</f>
        <v>#REF!</v>
      </c>
      <c r="S70" s="107" t="e">
        <f t="shared" si="53"/>
        <v>#REF!</v>
      </c>
      <c r="T70" s="107">
        <f t="shared" si="53"/>
        <v>-58.098901098901109</v>
      </c>
      <c r="U70" s="107">
        <f t="shared" si="53"/>
        <v>94.977457168620376</v>
      </c>
      <c r="V70" s="107">
        <f t="shared" si="53"/>
        <v>35.455228365384613</v>
      </c>
      <c r="W70" s="107">
        <f t="shared" si="53"/>
        <v>1.7035699812106251</v>
      </c>
      <c r="X70" s="108">
        <f t="shared" si="53"/>
        <v>9.0458715596330279</v>
      </c>
      <c r="Y70" s="108">
        <f t="shared" si="53"/>
        <v>-172.11111111111109</v>
      </c>
      <c r="Z70" s="108">
        <f t="shared" si="53"/>
        <v>57.233400402414489</v>
      </c>
      <c r="AA70" s="107">
        <f t="shared" si="53"/>
        <v>26.049712407559571</v>
      </c>
      <c r="AB70" s="111">
        <f t="shared" si="53"/>
        <v>358.00438596491233</v>
      </c>
      <c r="AC70" s="186" t="s">
        <v>22</v>
      </c>
      <c r="AD70" s="228" t="s">
        <v>22</v>
      </c>
      <c r="AE70" s="214" t="s">
        <v>266</v>
      </c>
    </row>
    <row r="71" spans="1:31" ht="12" customHeight="1" thickBot="1">
      <c r="A71" s="112" t="s">
        <v>131</v>
      </c>
      <c r="B71" s="79">
        <f t="shared" ref="B71:N71" si="54">B68+B69-B70</f>
        <v>0</v>
      </c>
      <c r="C71" s="79">
        <f t="shared" si="54"/>
        <v>0</v>
      </c>
      <c r="D71" s="79">
        <f t="shared" si="54"/>
        <v>10505.8006016</v>
      </c>
      <c r="E71" s="79">
        <f t="shared" si="54"/>
        <v>16389.495974400001</v>
      </c>
      <c r="F71" s="79">
        <f t="shared" si="54"/>
        <v>16784.771761600001</v>
      </c>
      <c r="G71" s="79">
        <f t="shared" si="54"/>
        <v>11173.0964864</v>
      </c>
      <c r="H71" s="79">
        <f t="shared" si="54"/>
        <v>3768.3682143999999</v>
      </c>
      <c r="I71" s="79">
        <f t="shared" si="54"/>
        <v>5939.0182495999998</v>
      </c>
      <c r="J71" s="79">
        <f t="shared" si="54"/>
        <v>10781.300852799999</v>
      </c>
      <c r="K71" s="79">
        <f t="shared" si="54"/>
        <v>7968.6445904000002</v>
      </c>
      <c r="L71" s="201">
        <f t="shared" si="54"/>
        <v>20314.359759999999</v>
      </c>
      <c r="M71" s="201">
        <f t="shared" si="54"/>
        <v>25990.920000000002</v>
      </c>
      <c r="N71" s="252">
        <f t="shared" si="54"/>
        <v>23425.445735999998</v>
      </c>
      <c r="O71" s="95"/>
      <c r="P71" s="2"/>
      <c r="Q71" s="109" t="s">
        <v>132</v>
      </c>
      <c r="R71" s="107">
        <v>0</v>
      </c>
      <c r="S71" s="107">
        <v>0</v>
      </c>
      <c r="T71" s="107">
        <f t="shared" ref="T71:AA71" si="55">(T66/T68)</f>
        <v>2.4982974517609735</v>
      </c>
      <c r="U71" s="107">
        <f t="shared" si="55"/>
        <v>4.7403584305319395</v>
      </c>
      <c r="V71" s="107">
        <f t="shared" si="55"/>
        <v>4.7962370260818306</v>
      </c>
      <c r="W71" s="107">
        <f t="shared" si="55"/>
        <v>3.1358027517159517</v>
      </c>
      <c r="X71" s="108">
        <f t="shared" si="55"/>
        <v>0.94955243854702842</v>
      </c>
      <c r="Y71" s="108">
        <f t="shared" si="55"/>
        <v>1.4811544046844503</v>
      </c>
      <c r="Z71" s="108">
        <f t="shared" si="55"/>
        <v>2.5630578658821883</v>
      </c>
      <c r="AA71" s="107">
        <f t="shared" si="55"/>
        <v>1.8220669775626923</v>
      </c>
      <c r="AB71" s="111">
        <f t="shared" ref="AB71:AC71" si="56">AB66/AB68</f>
        <v>4.5824890767579847</v>
      </c>
      <c r="AC71" s="186">
        <f t="shared" si="56"/>
        <v>5.7275062900949418</v>
      </c>
      <c r="AD71" s="228" t="s">
        <v>22</v>
      </c>
    </row>
    <row r="72" spans="1:31" ht="12" customHeight="1">
      <c r="A72" s="6"/>
      <c r="B72" s="6"/>
      <c r="C72" s="6"/>
      <c r="D72" s="6"/>
      <c r="E72" s="6"/>
      <c r="F72" s="6"/>
      <c r="G72" s="6"/>
      <c r="H72" s="6"/>
      <c r="I72" s="6"/>
      <c r="J72" s="88"/>
      <c r="K72" s="95"/>
      <c r="L72" s="95"/>
      <c r="M72" s="95"/>
      <c r="N72" s="253"/>
      <c r="O72" s="85"/>
      <c r="P72" s="2"/>
      <c r="Q72" s="109" t="s">
        <v>133</v>
      </c>
      <c r="R72" s="107" t="e">
        <f t="shared" ref="R72:AC72" si="57">B71/B16</f>
        <v>#DIV/0!</v>
      </c>
      <c r="S72" s="107" t="e">
        <f t="shared" si="57"/>
        <v>#DIV/0!</v>
      </c>
      <c r="T72" s="107">
        <f t="shared" si="57"/>
        <v>14.426883181499823</v>
      </c>
      <c r="U72" s="107">
        <f t="shared" si="57"/>
        <v>16.312988060396748</v>
      </c>
      <c r="V72" s="107">
        <f t="shared" si="57"/>
        <v>19.719415119716164</v>
      </c>
      <c r="W72" s="107">
        <f t="shared" si="57"/>
        <v>10.531417234313293</v>
      </c>
      <c r="X72" s="107">
        <f t="shared" si="57"/>
        <v>6.2799856920974619</v>
      </c>
      <c r="Y72" s="107">
        <f t="shared" si="57"/>
        <v>20.816748158429721</v>
      </c>
      <c r="Z72" s="107">
        <f t="shared" si="57"/>
        <v>22.112313827347837</v>
      </c>
      <c r="AA72" s="107">
        <f t="shared" si="57"/>
        <v>13.431054425080047</v>
      </c>
      <c r="AB72" s="107">
        <f t="shared" si="57"/>
        <v>69.849602035553403</v>
      </c>
      <c r="AC72" s="187">
        <f t="shared" si="57"/>
        <v>381.99470899470924</v>
      </c>
      <c r="AD72" s="228" t="s">
        <v>22</v>
      </c>
    </row>
    <row r="73" spans="1:31" ht="14.25" customHeight="1">
      <c r="A73" s="6"/>
      <c r="B73" s="6"/>
      <c r="C73" s="6"/>
      <c r="D73" s="6"/>
      <c r="E73" s="6"/>
      <c r="F73" s="6"/>
      <c r="G73" s="6"/>
      <c r="H73" s="6"/>
      <c r="I73" s="6"/>
      <c r="J73" s="88"/>
      <c r="K73" s="95"/>
      <c r="L73" s="95"/>
      <c r="M73" s="95"/>
      <c r="N73" s="253"/>
      <c r="O73" s="6"/>
      <c r="P73" s="2"/>
      <c r="Q73" s="113" t="s">
        <v>134</v>
      </c>
      <c r="R73" s="114" t="e">
        <f>(#REF!/R6)</f>
        <v>#REF!</v>
      </c>
      <c r="S73" s="114" t="e">
        <f>(#REF!/S6)</f>
        <v>#REF!</v>
      </c>
      <c r="T73" s="114">
        <f t="shared" ref="T73:AC73" si="58">(D30/T6)</f>
        <v>-4.0190375462717719E-2</v>
      </c>
      <c r="U73" s="114">
        <f t="shared" si="58"/>
        <v>4.9918206506410379E-2</v>
      </c>
      <c r="V73" s="114">
        <f t="shared" si="58"/>
        <v>0.10171440632630852</v>
      </c>
      <c r="W73" s="114">
        <f t="shared" si="58"/>
        <v>0.15162609400471749</v>
      </c>
      <c r="X73" s="115">
        <f t="shared" si="58"/>
        <v>0.10865960241299713</v>
      </c>
      <c r="Y73" s="115">
        <f t="shared" si="58"/>
        <v>-4.3089180335353673E-3</v>
      </c>
      <c r="Z73" s="115">
        <f t="shared" si="58"/>
        <v>4.1454009605197524E-2</v>
      </c>
      <c r="AA73" s="114">
        <f t="shared" si="58"/>
        <v>8.2995654556541107E-2</v>
      </c>
      <c r="AB73" s="114">
        <f t="shared" si="58"/>
        <v>3.2230663486742084E-2</v>
      </c>
      <c r="AC73" s="215">
        <f t="shared" si="58"/>
        <v>-3.8731752537588607E-2</v>
      </c>
      <c r="AD73" s="230" t="s">
        <v>22</v>
      </c>
    </row>
    <row r="74" spans="1:31" ht="14.25" customHeight="1">
      <c r="A74" s="6"/>
      <c r="B74" s="6"/>
      <c r="C74" s="6"/>
      <c r="D74" s="6"/>
      <c r="E74" s="6"/>
      <c r="F74" s="6"/>
      <c r="G74" s="6"/>
      <c r="H74" s="6"/>
      <c r="I74" s="6"/>
      <c r="J74" s="95"/>
      <c r="K74" s="85"/>
      <c r="L74" s="85"/>
      <c r="M74" s="85"/>
      <c r="N74" s="254"/>
      <c r="O74" s="15"/>
      <c r="P74" s="2"/>
      <c r="Q74" s="113" t="s">
        <v>135</v>
      </c>
      <c r="R74" s="114" t="e">
        <f t="shared" ref="R74:AC74" si="59">(B16-B20)/R11</f>
        <v>#DIV/0!</v>
      </c>
      <c r="S74" s="114" t="e">
        <f t="shared" si="59"/>
        <v>#DIV/0!</v>
      </c>
      <c r="T74" s="114">
        <f t="shared" si="59"/>
        <v>6.2994711286033664E-2</v>
      </c>
      <c r="U74" s="114">
        <f t="shared" si="59"/>
        <v>9.6078747467223252E-2</v>
      </c>
      <c r="V74" s="114">
        <f t="shared" si="59"/>
        <v>0.10387605052059928</v>
      </c>
      <c r="W74" s="114">
        <f t="shared" si="59"/>
        <v>0.17782681385685831</v>
      </c>
      <c r="X74" s="115">
        <f t="shared" si="59"/>
        <v>7.6341807764472219E-2</v>
      </c>
      <c r="Y74" s="115">
        <f t="shared" si="59"/>
        <v>1.0412561966949683E-2</v>
      </c>
      <c r="Z74" s="115">
        <f t="shared" si="59"/>
        <v>5.2462410889866022E-2</v>
      </c>
      <c r="AA74" s="114">
        <f t="shared" si="59"/>
        <v>7.8333155917221717E-2</v>
      </c>
      <c r="AB74" s="114">
        <f t="shared" si="59"/>
        <v>3.3077402720445875E-2</v>
      </c>
      <c r="AC74" s="215">
        <f t="shared" si="59"/>
        <v>5.2364665063280719E-4</v>
      </c>
      <c r="AD74" s="230" t="s">
        <v>22</v>
      </c>
    </row>
    <row r="75" spans="1:31" ht="14.25" customHeight="1">
      <c r="A75" s="6"/>
      <c r="B75" s="6"/>
      <c r="C75" s="6"/>
      <c r="D75" s="6"/>
      <c r="E75" s="6"/>
      <c r="F75" s="6"/>
      <c r="G75" s="6"/>
      <c r="H75" s="6"/>
      <c r="I75" s="6"/>
      <c r="J75" s="95"/>
      <c r="K75" s="85"/>
      <c r="L75" s="85"/>
      <c r="M75" s="85"/>
      <c r="N75" s="254"/>
      <c r="O75" s="116"/>
      <c r="P75" s="2"/>
      <c r="Q75" s="109" t="s">
        <v>136</v>
      </c>
      <c r="R75" s="117" t="e">
        <f t="shared" ref="R75:AC75" si="60">(R10/R6)</f>
        <v>#DIV/0!</v>
      </c>
      <c r="S75" s="117" t="e">
        <f t="shared" si="60"/>
        <v>#DIV/0!</v>
      </c>
      <c r="T75" s="117">
        <f t="shared" si="60"/>
        <v>1.989313590692755</v>
      </c>
      <c r="U75" s="117">
        <f t="shared" si="60"/>
        <v>1.8993013304537723</v>
      </c>
      <c r="V75" s="117">
        <f t="shared" si="60"/>
        <v>1.4028909454163012</v>
      </c>
      <c r="W75" s="117">
        <f t="shared" si="60"/>
        <v>0.27382979821437786</v>
      </c>
      <c r="X75" s="118">
        <f t="shared" si="60"/>
        <v>0.16777171367068161</v>
      </c>
      <c r="Y75" s="118">
        <f t="shared" si="60"/>
        <v>0.24924665274115673</v>
      </c>
      <c r="Z75" s="118">
        <f t="shared" si="60"/>
        <v>0.35375737465109897</v>
      </c>
      <c r="AA75" s="117">
        <f t="shared" si="60"/>
        <v>0.26698106168780217</v>
      </c>
      <c r="AB75" s="117">
        <f t="shared" si="60"/>
        <v>0.62363883562487277</v>
      </c>
      <c r="AC75" s="187">
        <f t="shared" si="60"/>
        <v>1.3010941967470953</v>
      </c>
      <c r="AD75" s="228" t="s">
        <v>22</v>
      </c>
    </row>
    <row r="76" spans="1:31" ht="14.25" customHeight="1">
      <c r="A76" s="6"/>
      <c r="B76" s="6"/>
      <c r="C76" s="6"/>
      <c r="D76" s="6"/>
      <c r="E76" s="6"/>
      <c r="F76" s="6"/>
      <c r="G76" s="6"/>
      <c r="H76" s="6"/>
      <c r="I76" s="6"/>
      <c r="J76" s="88"/>
      <c r="K76" s="15"/>
      <c r="L76" s="15"/>
      <c r="M76" s="15"/>
      <c r="N76" s="255"/>
      <c r="O76" s="6"/>
      <c r="P76" s="2"/>
      <c r="Q76" s="109" t="s">
        <v>137</v>
      </c>
      <c r="R76" s="117" t="e">
        <f t="shared" ref="R76:AC76" si="61">(R10-R35-R34)/R6</f>
        <v>#DIV/0!</v>
      </c>
      <c r="S76" s="117" t="e">
        <f t="shared" si="61"/>
        <v>#DIV/0!</v>
      </c>
      <c r="T76" s="117">
        <f t="shared" si="61"/>
        <v>1.946250661025912</v>
      </c>
      <c r="U76" s="117">
        <f t="shared" si="61"/>
        <v>1.8633565148719102</v>
      </c>
      <c r="V76" s="117">
        <f t="shared" si="61"/>
        <v>1.3120030277776766</v>
      </c>
      <c r="W76" s="117">
        <f t="shared" si="61"/>
        <v>0.25605857763449086</v>
      </c>
      <c r="X76" s="118">
        <f t="shared" si="61"/>
        <v>0.13347070978792869</v>
      </c>
      <c r="Y76" s="118">
        <f t="shared" si="61"/>
        <v>0.21359677658688037</v>
      </c>
      <c r="Z76" s="118">
        <f t="shared" si="61"/>
        <v>0.33606090103850145</v>
      </c>
      <c r="AA76" s="117">
        <f t="shared" si="61"/>
        <v>0.22809847613608006</v>
      </c>
      <c r="AB76" s="117">
        <f t="shared" si="61"/>
        <v>0.52273738229210909</v>
      </c>
      <c r="AC76" s="187">
        <f t="shared" si="61"/>
        <v>1.0405337138631239</v>
      </c>
      <c r="AD76" s="228" t="s">
        <v>22</v>
      </c>
    </row>
    <row r="77" spans="1:31" ht="14.25" customHeight="1">
      <c r="A77" s="6"/>
      <c r="B77" s="6"/>
      <c r="C77" s="6"/>
      <c r="D77" s="6"/>
      <c r="E77" s="6"/>
      <c r="F77" s="6"/>
      <c r="G77" s="6"/>
      <c r="H77" s="6"/>
      <c r="I77" s="6"/>
      <c r="J77" s="88"/>
      <c r="K77" s="116"/>
      <c r="L77" s="116"/>
      <c r="M77" s="116"/>
      <c r="N77" s="256"/>
      <c r="O77" s="6"/>
      <c r="P77" s="2"/>
      <c r="Q77" s="109" t="s">
        <v>138</v>
      </c>
      <c r="R77" s="114" t="e">
        <f t="shared" ref="R77:AB77" si="62">(R69/R66)</f>
        <v>#DIV/0!</v>
      </c>
      <c r="S77" s="114" t="e">
        <f t="shared" si="62"/>
        <v>#DIV/0!</v>
      </c>
      <c r="T77" s="114">
        <f t="shared" si="62"/>
        <v>0</v>
      </c>
      <c r="U77" s="114">
        <f t="shared" si="62"/>
        <v>0</v>
      </c>
      <c r="V77" s="114">
        <f t="shared" si="62"/>
        <v>5.0849612271706424E-3</v>
      </c>
      <c r="W77" s="114">
        <f t="shared" si="62"/>
        <v>8.1098615916955028E-3</v>
      </c>
      <c r="X77" s="115">
        <f t="shared" si="62"/>
        <v>1.0141987829614604E-2</v>
      </c>
      <c r="Y77" s="115">
        <f t="shared" si="62"/>
        <v>2.151925973746503E-3</v>
      </c>
      <c r="Z77" s="115">
        <f t="shared" si="62"/>
        <v>4.6874084490537296E-3</v>
      </c>
      <c r="AA77" s="114">
        <f t="shared" si="62"/>
        <v>7.8858134216544442E-3</v>
      </c>
      <c r="AB77" s="114">
        <f t="shared" si="62"/>
        <v>3.0627871362940277E-3</v>
      </c>
      <c r="AC77" s="187">
        <f t="shared" ref="AC77" si="63">(AC69/AC66)</f>
        <v>2.5391021734714604E-3</v>
      </c>
      <c r="AD77" s="228" t="s">
        <v>22</v>
      </c>
    </row>
    <row r="78" spans="1:31" ht="14.25" customHeight="1">
      <c r="A78" s="6"/>
      <c r="B78" s="6"/>
      <c r="C78" s="6"/>
      <c r="D78" s="6"/>
      <c r="E78" s="6"/>
      <c r="F78" s="6"/>
      <c r="G78" s="6"/>
      <c r="H78" s="6"/>
      <c r="I78" s="6"/>
      <c r="J78" s="119"/>
      <c r="K78" s="6"/>
      <c r="L78" s="6"/>
      <c r="M78" s="6"/>
      <c r="N78" s="225"/>
      <c r="O78" s="6"/>
      <c r="P78" s="2"/>
      <c r="Q78" s="109" t="s">
        <v>139</v>
      </c>
      <c r="R78" s="120" t="e">
        <f>(AVERAGE(R33)/B6*365)</f>
        <v>#DIV/0!</v>
      </c>
      <c r="S78" s="120" t="e">
        <f t="shared" ref="S78:AC78" si="64">(AVERAGE(R33:S33)/C6*365)</f>
        <v>#DIV/0!</v>
      </c>
      <c r="T78" s="120">
        <f t="shared" si="64"/>
        <v>21.747564651915383</v>
      </c>
      <c r="U78" s="120">
        <f t="shared" si="64"/>
        <v>22.126825157790879</v>
      </c>
      <c r="V78" s="120">
        <f t="shared" si="64"/>
        <v>42.255079371440317</v>
      </c>
      <c r="W78" s="120">
        <f t="shared" si="64"/>
        <v>28.155231241395981</v>
      </c>
      <c r="X78" s="121">
        <f t="shared" si="64"/>
        <v>20.320401430624266</v>
      </c>
      <c r="Y78" s="121">
        <f t="shared" si="64"/>
        <v>23.10653610634008</v>
      </c>
      <c r="Z78" s="121">
        <f t="shared" si="64"/>
        <v>16.380800477238914</v>
      </c>
      <c r="AA78" s="107">
        <f t="shared" si="64"/>
        <v>17.663183279742764</v>
      </c>
      <c r="AB78" s="107">
        <f t="shared" si="64"/>
        <v>51.168506411539894</v>
      </c>
      <c r="AC78" s="187">
        <f t="shared" si="64"/>
        <v>39.230830410472983</v>
      </c>
      <c r="AD78" s="228" t="s">
        <v>22</v>
      </c>
    </row>
    <row r="79" spans="1:31" ht="14.25" customHeight="1">
      <c r="A79" s="6"/>
      <c r="B79" s="6"/>
      <c r="C79" s="6"/>
      <c r="D79" s="6"/>
      <c r="E79" s="6"/>
      <c r="F79" s="6"/>
      <c r="G79" s="6"/>
      <c r="H79" s="6"/>
      <c r="I79" s="6"/>
      <c r="J79" s="81"/>
      <c r="K79" s="6"/>
      <c r="L79" s="6"/>
      <c r="M79" s="6"/>
      <c r="N79" s="225"/>
      <c r="O79" s="81"/>
      <c r="P79" s="2"/>
      <c r="Q79" s="109" t="s">
        <v>140</v>
      </c>
      <c r="R79" s="120" t="e">
        <f>AVERAGE(R44)/(B10+B11+B12)*365</f>
        <v>#DIV/0!</v>
      </c>
      <c r="S79" s="120" t="e">
        <f>AVERAGE(R44:S44)/(C10+C11+C12)*365</f>
        <v>#DIV/0!</v>
      </c>
      <c r="T79" s="122">
        <f t="shared" ref="T79:AC79" si="65">AVERAGE(S46:T46)/(D9)*365</f>
        <v>27.577635096464736</v>
      </c>
      <c r="U79" s="122">
        <f t="shared" si="65"/>
        <v>32.150916175161171</v>
      </c>
      <c r="V79" s="122">
        <f t="shared" si="65"/>
        <v>80.61291955281655</v>
      </c>
      <c r="W79" s="122">
        <f t="shared" si="65"/>
        <v>73.258343609331618</v>
      </c>
      <c r="X79" s="123">
        <f t="shared" si="65"/>
        <v>64.609227690768449</v>
      </c>
      <c r="Y79" s="123">
        <f t="shared" si="65"/>
        <v>84.894646663044824</v>
      </c>
      <c r="Z79" s="123">
        <f t="shared" si="65"/>
        <v>73.193270472325608</v>
      </c>
      <c r="AA79" s="107">
        <f t="shared" si="65"/>
        <v>91.916666666666686</v>
      </c>
      <c r="AB79" s="107">
        <f t="shared" si="65"/>
        <v>326.28671842215692</v>
      </c>
      <c r="AC79" s="187">
        <f t="shared" si="65"/>
        <v>241.75276845849206</v>
      </c>
      <c r="AD79" s="228" t="s">
        <v>22</v>
      </c>
    </row>
    <row r="80" spans="1:31" ht="14.25" customHeight="1">
      <c r="A80" s="6"/>
      <c r="B80" s="6"/>
      <c r="C80" s="6"/>
      <c r="D80" s="6"/>
      <c r="E80" s="6"/>
      <c r="F80" s="6"/>
      <c r="G80" s="6"/>
      <c r="H80" s="6"/>
      <c r="I80" s="6"/>
      <c r="J80" s="95"/>
      <c r="K80" s="6"/>
      <c r="L80" s="6"/>
      <c r="M80" s="6"/>
      <c r="N80" s="225"/>
      <c r="O80" s="88"/>
      <c r="P80" s="2"/>
      <c r="Q80" s="109" t="s">
        <v>141</v>
      </c>
      <c r="R80" s="120" t="e">
        <f>(AVERAGE(R31)/(B10+B11+B12)*365)</f>
        <v>#DIV/0!</v>
      </c>
      <c r="S80" s="120" t="e">
        <f>(AVERAGE(R31:S31)/(C10+C11+C12)*365)</f>
        <v>#DIV/0!</v>
      </c>
      <c r="T80" s="120">
        <f t="shared" ref="T80:AC80" si="66">(AVERAGE(S31:T31)/(D9)*365)</f>
        <v>57.56618246415556</v>
      </c>
      <c r="U80" s="120">
        <f t="shared" si="66"/>
        <v>62.009265520080881</v>
      </c>
      <c r="V80" s="120">
        <f t="shared" si="66"/>
        <v>141.92746797646939</v>
      </c>
      <c r="W80" s="120">
        <f t="shared" si="66"/>
        <v>114.50732854120923</v>
      </c>
      <c r="X80" s="121">
        <f t="shared" si="66"/>
        <v>130.0279860209825</v>
      </c>
      <c r="Y80" s="121">
        <f t="shared" si="66"/>
        <v>217.05442141334782</v>
      </c>
      <c r="Z80" s="121">
        <f t="shared" si="66"/>
        <v>190.06002403402744</v>
      </c>
      <c r="AA80" s="107">
        <f t="shared" si="66"/>
        <v>312.46979865771817</v>
      </c>
      <c r="AB80" s="107">
        <f t="shared" si="66"/>
        <v>1698.012863104397</v>
      </c>
      <c r="AC80" s="187">
        <f t="shared" si="66"/>
        <v>2097.5737835178975</v>
      </c>
      <c r="AD80" s="228" t="s">
        <v>22</v>
      </c>
    </row>
    <row r="81" spans="1:30" ht="14.25" customHeight="1">
      <c r="A81" s="6"/>
      <c r="B81" s="6"/>
      <c r="C81" s="6"/>
      <c r="D81" s="6"/>
      <c r="E81" s="6"/>
      <c r="F81" s="6"/>
      <c r="G81" s="6"/>
      <c r="H81" s="6"/>
      <c r="I81" s="6"/>
      <c r="J81" s="95"/>
      <c r="K81" s="81"/>
      <c r="L81" s="81"/>
      <c r="M81" s="81"/>
      <c r="N81" s="257"/>
      <c r="O81" s="88"/>
      <c r="P81" s="2"/>
      <c r="Q81" s="109" t="s">
        <v>142</v>
      </c>
      <c r="R81" s="120" t="e">
        <f t="shared" ref="R81:AB81" si="67">(R80+R78-R79)</f>
        <v>#DIV/0!</v>
      </c>
      <c r="S81" s="120" t="e">
        <f t="shared" si="67"/>
        <v>#DIV/0!</v>
      </c>
      <c r="T81" s="120">
        <f t="shared" si="67"/>
        <v>51.73611201960621</v>
      </c>
      <c r="U81" s="120">
        <f t="shared" si="67"/>
        <v>51.985174502710592</v>
      </c>
      <c r="V81" s="120">
        <f t="shared" si="67"/>
        <v>103.56962779509314</v>
      </c>
      <c r="W81" s="120">
        <f t="shared" si="67"/>
        <v>69.40421617327361</v>
      </c>
      <c r="X81" s="121">
        <f t="shared" si="67"/>
        <v>85.739159760838305</v>
      </c>
      <c r="Y81" s="121">
        <f t="shared" si="67"/>
        <v>155.26631085664309</v>
      </c>
      <c r="Z81" s="121">
        <f t="shared" si="67"/>
        <v>133.24755403894073</v>
      </c>
      <c r="AA81" s="107">
        <f t="shared" si="67"/>
        <v>238.21631527079427</v>
      </c>
      <c r="AB81" s="107">
        <f t="shared" si="67"/>
        <v>1422.8946510937799</v>
      </c>
      <c r="AC81" s="187">
        <f t="shared" ref="AC81" si="68">(AC80+AC78-AC79)</f>
        <v>1895.0518454698786</v>
      </c>
      <c r="AD81" s="228" t="s">
        <v>22</v>
      </c>
    </row>
    <row r="82" spans="1:30" ht="14.25" customHeight="1">
      <c r="A82" s="6"/>
      <c r="B82" s="6"/>
      <c r="C82" s="6"/>
      <c r="D82" s="6"/>
      <c r="E82" s="6"/>
      <c r="F82" s="6"/>
      <c r="G82" s="6"/>
      <c r="H82" s="6"/>
      <c r="I82" s="6"/>
      <c r="J82" s="95"/>
      <c r="K82" s="88"/>
      <c r="L82" s="88"/>
      <c r="M82" s="88"/>
      <c r="N82" s="258"/>
      <c r="O82" s="88"/>
      <c r="P82" s="6"/>
      <c r="Q82" s="109" t="s">
        <v>143</v>
      </c>
      <c r="R82" s="120" t="e">
        <f>AVERAGE(R51)/B6*365</f>
        <v>#DIV/0!</v>
      </c>
      <c r="S82" s="120" t="e">
        <f t="shared" ref="S82:AC82" si="69">AVERAGE(R51:S51)/C6*365</f>
        <v>#DIV/0!</v>
      </c>
      <c r="T82" s="120">
        <f t="shared" si="69"/>
        <v>-42.96425580557667</v>
      </c>
      <c r="U82" s="120">
        <f t="shared" si="69"/>
        <v>-91.851352021186713</v>
      </c>
      <c r="V82" s="120">
        <f t="shared" si="69"/>
        <v>-177.81205073360348</v>
      </c>
      <c r="W82" s="120">
        <f t="shared" si="69"/>
        <v>-82.840305772523408</v>
      </c>
      <c r="X82" s="121">
        <f t="shared" si="69"/>
        <v>-9.2869141827833452</v>
      </c>
      <c r="Y82" s="121">
        <f t="shared" si="69"/>
        <v>35.408352624897319</v>
      </c>
      <c r="Z82" s="121">
        <f t="shared" si="69"/>
        <v>30.635354251666854</v>
      </c>
      <c r="AA82" s="107">
        <f t="shared" si="69"/>
        <v>32.901488434809707</v>
      </c>
      <c r="AB82" s="107">
        <f t="shared" si="69"/>
        <v>479.1905920554363</v>
      </c>
      <c r="AC82" s="187">
        <f t="shared" si="69"/>
        <v>814.14859265268444</v>
      </c>
      <c r="AD82" s="228" t="s">
        <v>22</v>
      </c>
    </row>
    <row r="83" spans="1:30" ht="15" customHeight="1">
      <c r="A83" s="6"/>
      <c r="B83" s="6"/>
      <c r="C83" s="6"/>
      <c r="D83" s="6"/>
      <c r="E83" s="6"/>
      <c r="F83" s="6"/>
      <c r="G83" s="6"/>
      <c r="H83" s="6"/>
      <c r="I83" s="6"/>
      <c r="J83" s="95"/>
      <c r="K83" s="88"/>
      <c r="L83" s="88"/>
      <c r="M83" s="88"/>
      <c r="N83" s="258"/>
      <c r="O83" s="88"/>
      <c r="P83" s="6"/>
      <c r="Q83" s="16" t="s">
        <v>144</v>
      </c>
      <c r="R83" s="114" t="e">
        <f t="shared" ref="R83:AC83" si="70">B21/R10</f>
        <v>#DIV/0!</v>
      </c>
      <c r="S83" s="114" t="e">
        <f t="shared" si="70"/>
        <v>#DIV/0!</v>
      </c>
      <c r="T83" s="114">
        <f t="shared" si="70"/>
        <v>0.12497235360168771</v>
      </c>
      <c r="U83" s="114">
        <f t="shared" si="70"/>
        <v>0.116837795409224</v>
      </c>
      <c r="V83" s="114">
        <f t="shared" si="70"/>
        <v>5.4944370802518301E-2</v>
      </c>
      <c r="W83" s="114">
        <f t="shared" si="70"/>
        <v>0.11258065231369592</v>
      </c>
      <c r="X83" s="115">
        <f t="shared" si="70"/>
        <v>0.14918802247498972</v>
      </c>
      <c r="Y83" s="115">
        <f t="shared" si="70"/>
        <v>8.0943385425611081E-2</v>
      </c>
      <c r="Z83" s="115">
        <f t="shared" si="70"/>
        <v>3.9663717352306241E-2</v>
      </c>
      <c r="AA83" s="114">
        <f t="shared" si="70"/>
        <v>3.2976457777220997E-2</v>
      </c>
      <c r="AB83" s="114">
        <f t="shared" si="70"/>
        <v>1.2032850568598532E-2</v>
      </c>
      <c r="AC83" s="187">
        <f t="shared" si="70"/>
        <v>9.1563361846397715E-3</v>
      </c>
      <c r="AD83" s="228" t="s">
        <v>22</v>
      </c>
    </row>
    <row r="84" spans="1:30" ht="12" customHeight="1">
      <c r="A84" s="6"/>
      <c r="B84" s="6"/>
      <c r="C84" s="6"/>
      <c r="D84" s="6"/>
      <c r="E84" s="6"/>
      <c r="F84" s="6"/>
      <c r="G84" s="6"/>
      <c r="H84" s="6"/>
      <c r="I84" s="6"/>
      <c r="J84" s="95"/>
      <c r="K84" s="88"/>
      <c r="L84" s="88"/>
      <c r="M84" s="88"/>
      <c r="N84" s="258"/>
      <c r="O84" s="88"/>
      <c r="P84" s="6"/>
      <c r="Q84" s="124" t="s">
        <v>145</v>
      </c>
      <c r="R84" s="125"/>
      <c r="S84" s="125"/>
      <c r="T84" s="126">
        <f t="shared" ref="T84:AC84" si="71">D4/T15</f>
        <v>1.3811407706424339</v>
      </c>
      <c r="U84" s="127">
        <f t="shared" si="71"/>
        <v>1.3541808754032862</v>
      </c>
      <c r="V84" s="127">
        <f t="shared" si="71"/>
        <v>0.64540773360325343</v>
      </c>
      <c r="W84" s="127">
        <f t="shared" si="71"/>
        <v>1.1279786506794656</v>
      </c>
      <c r="X84" s="128">
        <f t="shared" si="71"/>
        <v>1.010770784247728</v>
      </c>
      <c r="Y84" s="128">
        <f t="shared" si="71"/>
        <v>0.80003669051550175</v>
      </c>
      <c r="Z84" s="128">
        <f t="shared" si="71"/>
        <v>1.2857907662235391</v>
      </c>
      <c r="AA84" s="126">
        <f t="shared" si="71"/>
        <v>1.2314431250301288</v>
      </c>
      <c r="AB84" s="126">
        <f t="shared" si="71"/>
        <v>0.37671357131366096</v>
      </c>
      <c r="AC84" s="185">
        <f t="shared" si="71"/>
        <v>1.8158090754700114</v>
      </c>
      <c r="AD84" s="229" t="s">
        <v>22</v>
      </c>
    </row>
    <row r="85" spans="1:30" ht="12" customHeight="1" thickBot="1">
      <c r="A85" s="6"/>
      <c r="B85" s="6"/>
      <c r="C85" s="6"/>
      <c r="D85" s="6"/>
      <c r="E85" s="6"/>
      <c r="F85" s="6"/>
      <c r="G85" s="6"/>
      <c r="H85" s="6"/>
      <c r="I85" s="6"/>
      <c r="J85" s="88"/>
      <c r="K85" s="88"/>
      <c r="L85" s="88"/>
      <c r="M85" s="88"/>
      <c r="N85" s="258"/>
      <c r="O85" s="95"/>
      <c r="P85" s="6"/>
      <c r="Q85" s="112" t="s">
        <v>146</v>
      </c>
      <c r="R85" s="129"/>
      <c r="S85" s="129"/>
      <c r="T85" s="129"/>
      <c r="U85" s="129"/>
      <c r="V85" s="130">
        <f t="shared" ref="V85:AD85" si="72">(F16-F20)/F21</f>
        <v>3.0776167319767711</v>
      </c>
      <c r="W85" s="130">
        <f t="shared" si="72"/>
        <v>8.5468242245199395</v>
      </c>
      <c r="X85" s="130">
        <f t="shared" si="72"/>
        <v>4.2654724997129341</v>
      </c>
      <c r="Y85" s="130">
        <f t="shared" si="72"/>
        <v>0.76619519094766642</v>
      </c>
      <c r="Z85" s="130">
        <f t="shared" si="72"/>
        <v>4.9235339210425577</v>
      </c>
      <c r="AA85" s="130">
        <f t="shared" si="72"/>
        <v>11.612215078901245</v>
      </c>
      <c r="AB85" s="130">
        <f t="shared" si="72"/>
        <v>7.7635632953784341</v>
      </c>
      <c r="AC85" s="189">
        <f t="shared" si="72"/>
        <v>9.2896174863387207E-2</v>
      </c>
      <c r="AD85" s="189">
        <f>(N16-N20)/N21</f>
        <v>-4.8328767123287673</v>
      </c>
    </row>
    <row r="86" spans="1:30" ht="12" customHeight="1">
      <c r="A86" s="6"/>
      <c r="B86" s="6"/>
      <c r="C86" s="6"/>
      <c r="D86" s="6"/>
      <c r="E86" s="6"/>
      <c r="F86" s="6"/>
      <c r="G86" s="6"/>
      <c r="H86" s="6"/>
      <c r="I86" s="6"/>
      <c r="J86" s="95"/>
      <c r="K86" s="88"/>
      <c r="L86" s="88"/>
      <c r="M86" s="88"/>
      <c r="N86" s="258"/>
      <c r="O86" s="95"/>
      <c r="P86" s="6"/>
      <c r="Q86" s="6"/>
      <c r="R86" s="6"/>
      <c r="S86" s="6"/>
      <c r="T86" s="6"/>
      <c r="U86" s="6"/>
      <c r="V86" s="55"/>
      <c r="W86" s="6"/>
      <c r="X86" s="6"/>
      <c r="Y86" s="6"/>
      <c r="Z86" s="6"/>
      <c r="AA86" s="6"/>
      <c r="AB86" s="6"/>
      <c r="AC86" s="6"/>
    </row>
    <row r="87" spans="1:30" ht="12" customHeight="1">
      <c r="A87" s="6"/>
      <c r="B87" s="6"/>
      <c r="C87" s="6"/>
      <c r="D87" s="6"/>
      <c r="E87" s="6"/>
      <c r="F87" s="6"/>
      <c r="G87" s="6"/>
      <c r="H87" s="6"/>
      <c r="I87" s="6"/>
      <c r="J87" s="88"/>
      <c r="K87" s="95"/>
      <c r="L87" s="95"/>
      <c r="M87" s="95"/>
      <c r="N87" s="253"/>
      <c r="O87" s="88"/>
      <c r="P87" s="6"/>
      <c r="Q87" s="131"/>
      <c r="R87" s="6"/>
      <c r="S87" s="6"/>
      <c r="T87" s="6"/>
      <c r="U87" s="6"/>
      <c r="V87" s="55"/>
      <c r="W87" s="6"/>
      <c r="X87" s="6"/>
      <c r="Y87" s="6"/>
      <c r="Z87" s="6"/>
      <c r="AA87" s="6"/>
      <c r="AB87" s="6"/>
      <c r="AC87" s="6"/>
    </row>
    <row r="88" spans="1:30" ht="12" customHeight="1">
      <c r="A88" s="6"/>
      <c r="B88" s="6"/>
      <c r="C88" s="6"/>
      <c r="D88" s="6"/>
      <c r="E88" s="6"/>
      <c r="F88" s="6"/>
      <c r="G88" s="6"/>
      <c r="H88" s="6"/>
      <c r="I88" s="6"/>
      <c r="J88" s="24"/>
      <c r="K88" s="95"/>
      <c r="L88" s="95"/>
      <c r="M88" s="95"/>
      <c r="N88" s="253"/>
      <c r="O88" s="88"/>
      <c r="P88" s="6"/>
      <c r="Q88" s="6"/>
      <c r="R88" s="6"/>
      <c r="S88" s="6"/>
      <c r="T88" s="6"/>
      <c r="U88" s="6"/>
      <c r="V88" s="55"/>
      <c r="W88" s="6"/>
      <c r="X88" s="6"/>
      <c r="Y88" s="6"/>
      <c r="Z88" s="6"/>
      <c r="AA88" s="6"/>
      <c r="AB88" s="6"/>
      <c r="AC88" s="6"/>
    </row>
    <row r="89" spans="1:30" ht="12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88"/>
      <c r="L89" s="88"/>
      <c r="M89" s="88"/>
      <c r="N89" s="258"/>
      <c r="O89" s="119"/>
      <c r="P89" s="6"/>
      <c r="Q89" s="6"/>
      <c r="R89" s="6"/>
      <c r="S89" s="6"/>
      <c r="T89" s="6"/>
      <c r="U89" s="6"/>
      <c r="V89" s="55"/>
      <c r="W89" s="6"/>
      <c r="X89" s="6"/>
      <c r="Y89" s="6"/>
      <c r="Z89" s="6"/>
      <c r="AA89" s="6"/>
      <c r="AB89" s="6"/>
      <c r="AC89" s="6"/>
    </row>
    <row r="90" spans="1:30" ht="12" customHeight="1">
      <c r="A90" s="6"/>
      <c r="B90" s="6"/>
      <c r="C90" s="6"/>
      <c r="D90" s="6"/>
      <c r="E90" s="6"/>
      <c r="F90" s="6"/>
      <c r="G90" s="6"/>
      <c r="H90" s="6"/>
      <c r="I90" s="6"/>
      <c r="J90" s="132"/>
      <c r="K90" s="88"/>
      <c r="L90" s="88"/>
      <c r="M90" s="88"/>
      <c r="N90" s="258"/>
      <c r="O90" s="81"/>
      <c r="P90" s="6"/>
      <c r="Q90" s="6"/>
      <c r="R90" s="6"/>
      <c r="S90" s="6"/>
      <c r="T90" s="6"/>
      <c r="U90" s="6"/>
      <c r="V90" s="55"/>
      <c r="W90" s="6"/>
      <c r="X90" s="6"/>
      <c r="Y90" s="6"/>
      <c r="Z90" s="6"/>
      <c r="AA90" s="6"/>
      <c r="AB90" s="6"/>
      <c r="AC90" s="6"/>
    </row>
    <row r="91" spans="1:30" ht="12" customHeight="1">
      <c r="A91" s="6"/>
      <c r="B91" s="6"/>
      <c r="C91" s="6"/>
      <c r="D91" s="6"/>
      <c r="E91" s="6"/>
      <c r="F91" s="6"/>
      <c r="G91" s="6"/>
      <c r="H91" s="6"/>
      <c r="I91" s="6"/>
      <c r="J91" s="95"/>
      <c r="K91" s="119"/>
      <c r="L91" s="119"/>
      <c r="M91" s="119"/>
      <c r="N91" s="225"/>
      <c r="O91" s="95"/>
      <c r="P91" s="6"/>
      <c r="Q91" s="6"/>
      <c r="R91" s="6"/>
      <c r="S91" s="6"/>
      <c r="T91" s="6"/>
      <c r="U91" s="6"/>
      <c r="V91" s="55"/>
      <c r="W91" s="6"/>
      <c r="X91" s="6"/>
      <c r="Y91" s="6"/>
      <c r="Z91" s="6"/>
      <c r="AA91" s="6"/>
      <c r="AB91" s="6"/>
      <c r="AC91" s="6"/>
    </row>
    <row r="92" spans="1:30" ht="12" customHeight="1">
      <c r="A92" s="6"/>
      <c r="B92" s="6"/>
      <c r="C92" s="6"/>
      <c r="D92" s="6"/>
      <c r="E92" s="6"/>
      <c r="F92" s="6"/>
      <c r="G92" s="6"/>
      <c r="H92" s="6"/>
      <c r="I92" s="6"/>
      <c r="J92" s="95"/>
      <c r="K92" s="81"/>
      <c r="L92" s="81"/>
      <c r="M92" s="81"/>
      <c r="N92" s="257"/>
      <c r="O92" s="95"/>
      <c r="P92" s="6"/>
      <c r="Q92" s="6"/>
      <c r="R92" s="6"/>
      <c r="S92" s="6"/>
      <c r="T92" s="6"/>
      <c r="U92" s="6"/>
      <c r="V92" s="55"/>
      <c r="W92" s="6"/>
      <c r="X92" s="6"/>
      <c r="Y92" s="6"/>
      <c r="Z92" s="6"/>
      <c r="AA92" s="6"/>
      <c r="AB92" s="6"/>
      <c r="AC92" s="6"/>
    </row>
    <row r="93" spans="1:30" ht="12" customHeight="1">
      <c r="A93" s="6"/>
      <c r="B93" s="6"/>
      <c r="C93" s="6"/>
      <c r="D93" s="6"/>
      <c r="E93" s="6"/>
      <c r="F93" s="6"/>
      <c r="G93" s="6"/>
      <c r="H93" s="6"/>
      <c r="I93" s="6"/>
      <c r="J93" s="95"/>
      <c r="K93" s="95"/>
      <c r="L93" s="95"/>
      <c r="M93" s="95"/>
      <c r="N93" s="253"/>
      <c r="O93" s="95"/>
      <c r="P93" s="6"/>
      <c r="Q93" s="6"/>
      <c r="R93" s="6"/>
      <c r="S93" s="6"/>
      <c r="T93" s="6"/>
      <c r="U93" s="6"/>
      <c r="V93" s="55"/>
      <c r="W93" s="6"/>
      <c r="X93" s="6"/>
      <c r="Y93" s="6"/>
      <c r="Z93" s="6"/>
      <c r="AA93" s="6"/>
      <c r="AB93" s="6"/>
      <c r="AC93" s="6"/>
    </row>
    <row r="94" spans="1:30" ht="12" customHeight="1">
      <c r="A94" s="6"/>
      <c r="B94" s="6"/>
      <c r="C94" s="6"/>
      <c r="D94" s="6"/>
      <c r="E94" s="6"/>
      <c r="F94" s="6"/>
      <c r="G94" s="6"/>
      <c r="H94" s="6"/>
      <c r="I94" s="6"/>
      <c r="J94" s="88"/>
      <c r="K94" s="95"/>
      <c r="L94" s="95"/>
      <c r="M94" s="95"/>
      <c r="N94" s="253"/>
      <c r="O94" s="95"/>
      <c r="P94" s="6"/>
      <c r="Q94" s="6"/>
      <c r="R94" s="6"/>
      <c r="S94" s="6"/>
      <c r="T94" s="6"/>
      <c r="U94" s="6"/>
      <c r="V94" s="55"/>
      <c r="W94" s="6"/>
      <c r="X94" s="6"/>
      <c r="Y94" s="6"/>
      <c r="Z94" s="6"/>
      <c r="AA94" s="6"/>
      <c r="AB94" s="6"/>
      <c r="AC94" s="6"/>
    </row>
    <row r="95" spans="1:30" ht="12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95"/>
      <c r="L95" s="95"/>
      <c r="M95" s="95"/>
      <c r="N95" s="253"/>
      <c r="O95" s="95"/>
      <c r="P95" s="6"/>
      <c r="Q95" s="6"/>
      <c r="R95" s="6"/>
      <c r="S95" s="6"/>
      <c r="T95" s="6"/>
      <c r="U95" s="6"/>
      <c r="V95" s="55"/>
      <c r="W95" s="6"/>
      <c r="X95" s="6"/>
      <c r="Y95" s="6"/>
      <c r="Z95" s="6"/>
      <c r="AA95" s="6"/>
      <c r="AB95" s="6"/>
      <c r="AC95" s="6"/>
    </row>
    <row r="96" spans="1:30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95"/>
      <c r="L96" s="95"/>
      <c r="M96" s="95"/>
      <c r="N96" s="253"/>
      <c r="O96" s="88"/>
      <c r="P96" s="6"/>
      <c r="Q96" s="6"/>
      <c r="R96" s="6"/>
      <c r="S96" s="6"/>
      <c r="T96" s="6"/>
      <c r="U96" s="6"/>
      <c r="V96" s="55"/>
      <c r="W96" s="6"/>
      <c r="X96" s="6"/>
      <c r="Y96" s="6"/>
      <c r="Z96" s="6"/>
      <c r="AA96" s="6"/>
      <c r="AB96" s="6"/>
      <c r="AC96" s="6"/>
    </row>
    <row r="97" spans="1:29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95"/>
      <c r="L97" s="95"/>
      <c r="M97" s="95"/>
      <c r="N97" s="253"/>
      <c r="O97" s="95"/>
      <c r="P97" s="6"/>
      <c r="Q97" s="6"/>
      <c r="R97" s="6"/>
      <c r="S97" s="6"/>
      <c r="T97" s="6"/>
      <c r="U97" s="6"/>
      <c r="V97" s="55"/>
      <c r="W97" s="6"/>
      <c r="X97" s="6"/>
      <c r="Y97" s="6"/>
      <c r="Z97" s="6"/>
      <c r="AA97" s="6"/>
      <c r="AB97" s="6"/>
      <c r="AC97" s="6"/>
    </row>
    <row r="98" spans="1:29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88"/>
      <c r="L98" s="88"/>
      <c r="M98" s="88"/>
      <c r="N98" s="258"/>
      <c r="O98" s="88"/>
      <c r="P98" s="6"/>
      <c r="Q98" s="6"/>
      <c r="R98" s="6"/>
      <c r="S98" s="6"/>
      <c r="T98" s="6"/>
      <c r="U98" s="6"/>
      <c r="V98" s="55"/>
      <c r="W98" s="6"/>
      <c r="X98" s="6"/>
      <c r="Y98" s="6"/>
      <c r="Z98" s="6"/>
      <c r="AA98" s="6"/>
      <c r="AB98" s="6"/>
      <c r="AC98" s="6"/>
    </row>
    <row r="99" spans="1:29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95"/>
      <c r="L99" s="95"/>
      <c r="M99" s="95"/>
      <c r="N99" s="253"/>
      <c r="O99" s="2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88"/>
      <c r="L100" s="88"/>
      <c r="M100" s="88"/>
      <c r="N100" s="258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24"/>
      <c r="L101" s="24"/>
      <c r="M101" s="24"/>
      <c r="N101" s="259"/>
      <c r="O101" s="132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225"/>
      <c r="O102" s="95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32"/>
      <c r="L103" s="132"/>
      <c r="M103" s="132"/>
      <c r="N103" s="260"/>
      <c r="O103" s="95"/>
      <c r="P103" s="6"/>
      <c r="Q103" s="6"/>
      <c r="R103" s="6"/>
      <c r="S103" s="6"/>
      <c r="T103" s="6"/>
      <c r="U103" s="6"/>
      <c r="V103" s="55"/>
      <c r="W103" s="6"/>
      <c r="X103" s="6"/>
      <c r="Y103" s="6"/>
      <c r="Z103" s="6"/>
      <c r="AA103" s="6"/>
      <c r="AB103" s="6"/>
      <c r="AC103" s="6"/>
    </row>
    <row r="104" spans="1:29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95"/>
      <c r="L104" s="95"/>
      <c r="M104" s="95"/>
      <c r="N104" s="253"/>
      <c r="O104" s="95"/>
      <c r="P104" s="6"/>
      <c r="Q104" s="6"/>
      <c r="R104" s="6"/>
      <c r="S104" s="6"/>
      <c r="T104" s="6"/>
      <c r="U104" s="6"/>
      <c r="V104" s="55"/>
      <c r="W104" s="6"/>
      <c r="X104" s="6"/>
      <c r="Y104" s="6"/>
      <c r="Z104" s="6"/>
      <c r="AA104" s="6"/>
      <c r="AB104" s="6"/>
      <c r="AC104" s="6"/>
    </row>
    <row r="105" spans="1:29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95"/>
      <c r="L105" s="95"/>
      <c r="M105" s="95"/>
      <c r="N105" s="253"/>
      <c r="O105" s="88"/>
      <c r="P105" s="6"/>
      <c r="Q105" s="6"/>
      <c r="R105" s="6"/>
      <c r="S105" s="6"/>
      <c r="T105" s="6"/>
      <c r="U105" s="6"/>
      <c r="V105" s="55"/>
      <c r="W105" s="6"/>
      <c r="X105" s="6"/>
      <c r="Y105" s="6"/>
      <c r="Z105" s="6"/>
      <c r="AA105" s="6"/>
      <c r="AB105" s="6"/>
      <c r="AC105" s="6"/>
    </row>
    <row r="106" spans="1:29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95"/>
      <c r="L106" s="95"/>
      <c r="M106" s="95"/>
      <c r="N106" s="253"/>
      <c r="O106" s="6"/>
      <c r="P106" s="6"/>
      <c r="Q106" s="6"/>
      <c r="R106" s="6"/>
      <c r="S106" s="6"/>
      <c r="T106" s="6"/>
      <c r="U106" s="6"/>
      <c r="V106" s="55"/>
      <c r="W106" s="6"/>
      <c r="X106" s="6"/>
      <c r="Y106" s="6"/>
      <c r="Z106" s="6"/>
      <c r="AA106" s="6"/>
      <c r="AB106" s="6"/>
      <c r="AC106" s="6"/>
    </row>
    <row r="107" spans="1:29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88"/>
      <c r="L107" s="88"/>
      <c r="M107" s="88"/>
      <c r="N107" s="258"/>
      <c r="O107" s="6"/>
      <c r="P107" s="6"/>
      <c r="Q107" s="6"/>
      <c r="R107" s="6"/>
      <c r="S107" s="6"/>
      <c r="T107" s="6"/>
      <c r="U107" s="6"/>
      <c r="V107" s="55"/>
      <c r="W107" s="6"/>
      <c r="X107" s="6"/>
      <c r="Y107" s="6"/>
      <c r="Z107" s="6"/>
      <c r="AA107" s="6"/>
      <c r="AB107" s="6"/>
      <c r="AC107" s="6"/>
    </row>
    <row r="108" spans="1:29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25"/>
      <c r="O108" s="6"/>
      <c r="P108" s="6"/>
      <c r="Q108" s="6"/>
      <c r="R108" s="6"/>
      <c r="S108" s="6"/>
      <c r="T108" s="6"/>
      <c r="U108" s="6"/>
      <c r="V108" s="55"/>
      <c r="W108" s="6"/>
      <c r="X108" s="6"/>
      <c r="Y108" s="6"/>
      <c r="Z108" s="6"/>
      <c r="AA108" s="6"/>
      <c r="AB108" s="6"/>
      <c r="AC108" s="6"/>
    </row>
    <row r="109" spans="1:29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25"/>
      <c r="O109" s="6"/>
      <c r="P109" s="6"/>
      <c r="Q109" s="6"/>
      <c r="R109" s="6"/>
      <c r="S109" s="6"/>
      <c r="T109" s="6"/>
      <c r="U109" s="6"/>
      <c r="V109" s="55"/>
      <c r="W109" s="6"/>
      <c r="X109" s="6"/>
      <c r="Y109" s="6"/>
      <c r="Z109" s="6"/>
      <c r="AA109" s="6"/>
      <c r="AB109" s="6"/>
      <c r="AC109" s="6"/>
    </row>
    <row r="110" spans="1:29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25"/>
      <c r="O110" s="6"/>
      <c r="P110" s="6"/>
      <c r="Q110" s="6"/>
      <c r="R110" s="6"/>
      <c r="S110" s="6"/>
      <c r="T110" s="6"/>
      <c r="U110" s="6"/>
      <c r="V110" s="55"/>
      <c r="W110" s="6"/>
      <c r="X110" s="6"/>
      <c r="Y110" s="6"/>
      <c r="Z110" s="6"/>
      <c r="AA110" s="6"/>
      <c r="AB110" s="6"/>
      <c r="AC110" s="6"/>
    </row>
    <row r="111" spans="1:29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25"/>
      <c r="O111" s="6"/>
      <c r="P111" s="6"/>
      <c r="Q111" s="6"/>
      <c r="R111" s="6"/>
      <c r="S111" s="6"/>
      <c r="T111" s="6"/>
      <c r="U111" s="6"/>
      <c r="V111" s="55"/>
      <c r="W111" s="6"/>
      <c r="X111" s="6"/>
      <c r="Y111" s="6"/>
      <c r="Z111" s="6"/>
      <c r="AA111" s="6"/>
      <c r="AB111" s="6"/>
      <c r="AC111" s="6"/>
    </row>
    <row r="112" spans="1:29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25"/>
      <c r="O112" s="6"/>
      <c r="P112" s="6"/>
      <c r="Q112" s="6"/>
      <c r="R112" s="6"/>
      <c r="S112" s="6"/>
      <c r="T112" s="6"/>
      <c r="U112" s="6"/>
      <c r="V112" s="55"/>
      <c r="W112" s="6"/>
      <c r="X112" s="6"/>
      <c r="Y112" s="6"/>
      <c r="Z112" s="6"/>
      <c r="AA112" s="6"/>
      <c r="AB112" s="6"/>
      <c r="AC112" s="6"/>
    </row>
    <row r="113" spans="1:29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25"/>
      <c r="O113" s="6"/>
      <c r="P113" s="6"/>
      <c r="Q113" s="6"/>
      <c r="R113" s="6"/>
      <c r="S113" s="6"/>
      <c r="T113" s="6"/>
      <c r="U113" s="6"/>
      <c r="V113" s="55"/>
      <c r="W113" s="6"/>
      <c r="X113" s="6"/>
      <c r="Y113" s="6"/>
      <c r="Z113" s="6"/>
      <c r="AA113" s="6"/>
      <c r="AB113" s="6"/>
      <c r="AC113" s="6"/>
    </row>
    <row r="114" spans="1:29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25"/>
      <c r="O114" s="6"/>
      <c r="P114" s="6"/>
      <c r="Q114" s="6"/>
      <c r="R114" s="6"/>
      <c r="S114" s="6"/>
      <c r="T114" s="6"/>
      <c r="U114" s="6"/>
      <c r="V114" s="55"/>
      <c r="W114" s="6"/>
      <c r="X114" s="6"/>
      <c r="Y114" s="6"/>
      <c r="Z114" s="6"/>
      <c r="AA114" s="6"/>
      <c r="AB114" s="6"/>
      <c r="AC114" s="6"/>
    </row>
    <row r="115" spans="1:29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25"/>
      <c r="O115" s="6"/>
      <c r="P115" s="6"/>
      <c r="Q115" s="6"/>
      <c r="R115" s="6"/>
      <c r="S115" s="6"/>
      <c r="T115" s="6"/>
      <c r="U115" s="6"/>
      <c r="V115" s="55"/>
      <c r="W115" s="6"/>
      <c r="X115" s="6"/>
      <c r="Y115" s="6"/>
      <c r="Z115" s="6"/>
      <c r="AA115" s="6"/>
      <c r="AB115" s="6"/>
      <c r="AC115" s="6"/>
    </row>
    <row r="116" spans="1:29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25"/>
      <c r="O116" s="6"/>
      <c r="P116" s="6"/>
      <c r="Q116" s="6"/>
      <c r="R116" s="6"/>
      <c r="S116" s="6"/>
      <c r="T116" s="6"/>
      <c r="U116" s="6"/>
      <c r="V116" s="55"/>
      <c r="W116" s="6"/>
      <c r="X116" s="6"/>
      <c r="Y116" s="6"/>
      <c r="Z116" s="6"/>
      <c r="AA116" s="6"/>
      <c r="AB116" s="6"/>
      <c r="AC116" s="6"/>
    </row>
    <row r="117" spans="1:29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25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25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25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5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5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5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5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5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5"/>
      <c r="O125" s="6"/>
      <c r="P125" s="6"/>
      <c r="Q125" s="6"/>
      <c r="R125" s="6"/>
      <c r="S125" s="6"/>
      <c r="T125" s="6"/>
      <c r="U125" s="6"/>
      <c r="V125" s="55"/>
      <c r="W125" s="6"/>
      <c r="X125" s="6"/>
      <c r="Y125" s="6"/>
      <c r="Z125" s="6"/>
      <c r="AA125" s="6"/>
      <c r="AB125" s="6"/>
      <c r="AC125" s="6"/>
    </row>
    <row r="126" spans="1:29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5"/>
      <c r="O126" s="6"/>
      <c r="P126" s="6"/>
      <c r="Q126" s="6"/>
      <c r="R126" s="6"/>
      <c r="S126" s="6"/>
      <c r="T126" s="6"/>
      <c r="U126" s="6"/>
      <c r="V126" s="55"/>
      <c r="W126" s="6"/>
      <c r="X126" s="6"/>
      <c r="Y126" s="6"/>
      <c r="Z126" s="6"/>
      <c r="AA126" s="6"/>
      <c r="AB126" s="6"/>
      <c r="AC126" s="6"/>
    </row>
    <row r="127" spans="1:29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5"/>
      <c r="O127" s="6"/>
      <c r="P127" s="6"/>
      <c r="Q127" s="6"/>
      <c r="R127" s="6"/>
      <c r="S127" s="6"/>
      <c r="T127" s="6"/>
      <c r="U127" s="6"/>
      <c r="V127" s="55"/>
      <c r="W127" s="6"/>
      <c r="X127" s="6"/>
      <c r="Y127" s="6"/>
      <c r="Z127" s="6"/>
      <c r="AA127" s="6"/>
      <c r="AB127" s="6"/>
      <c r="AC127" s="6"/>
    </row>
    <row r="128" spans="1:29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5"/>
      <c r="O128" s="6"/>
      <c r="P128" s="6"/>
      <c r="Q128" s="6"/>
      <c r="R128" s="6"/>
      <c r="S128" s="6"/>
      <c r="T128" s="6"/>
      <c r="U128" s="6"/>
      <c r="V128" s="55"/>
      <c r="W128" s="6"/>
      <c r="X128" s="6"/>
      <c r="Y128" s="6"/>
      <c r="Z128" s="6"/>
      <c r="AA128" s="6"/>
      <c r="AB128" s="6"/>
      <c r="AC128" s="6"/>
    </row>
    <row r="129" spans="1:29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5"/>
      <c r="O129" s="6"/>
      <c r="P129" s="6"/>
      <c r="Q129" s="6"/>
      <c r="R129" s="6"/>
      <c r="S129" s="6"/>
      <c r="T129" s="6"/>
      <c r="U129" s="6"/>
      <c r="V129" s="55"/>
      <c r="W129" s="6"/>
      <c r="X129" s="6"/>
      <c r="Y129" s="6"/>
      <c r="Z129" s="6"/>
      <c r="AA129" s="6"/>
      <c r="AB129" s="6"/>
      <c r="AC129" s="6"/>
    </row>
    <row r="130" spans="1:29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5"/>
      <c r="O130" s="6"/>
      <c r="P130" s="6"/>
      <c r="Q130" s="6"/>
      <c r="R130" s="6"/>
      <c r="S130" s="6"/>
      <c r="T130" s="6"/>
      <c r="U130" s="6"/>
      <c r="V130" s="55"/>
      <c r="W130" s="6"/>
      <c r="X130" s="6"/>
      <c r="Y130" s="6"/>
      <c r="Z130" s="6"/>
      <c r="AA130" s="6"/>
      <c r="AB130" s="6"/>
      <c r="AC130" s="6"/>
    </row>
    <row r="131" spans="1:29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5"/>
      <c r="O131" s="6"/>
      <c r="P131" s="6"/>
      <c r="Q131" s="6"/>
      <c r="R131" s="6"/>
      <c r="S131" s="6"/>
      <c r="T131" s="6"/>
      <c r="U131" s="6"/>
      <c r="V131" s="55"/>
      <c r="W131" s="6"/>
      <c r="X131" s="6"/>
      <c r="Y131" s="6"/>
      <c r="Z131" s="6"/>
      <c r="AA131" s="6"/>
      <c r="AB131" s="6"/>
      <c r="AC131" s="6"/>
    </row>
    <row r="132" spans="1:29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25"/>
      <c r="O132" s="6"/>
      <c r="P132" s="6"/>
      <c r="Q132" s="6"/>
      <c r="R132" s="6"/>
      <c r="S132" s="6"/>
      <c r="T132" s="6"/>
      <c r="U132" s="6"/>
      <c r="V132" s="55"/>
      <c r="W132" s="6"/>
      <c r="X132" s="6"/>
      <c r="Y132" s="6"/>
      <c r="Z132" s="6"/>
      <c r="AA132" s="6"/>
      <c r="AB132" s="6"/>
      <c r="AC132" s="6"/>
    </row>
    <row r="133" spans="1:29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25"/>
      <c r="O133" s="6"/>
      <c r="P133" s="6"/>
      <c r="Q133" s="6"/>
      <c r="R133" s="6"/>
      <c r="S133" s="6"/>
      <c r="T133" s="6"/>
      <c r="U133" s="6"/>
      <c r="V133" s="55"/>
      <c r="W133" s="6"/>
      <c r="X133" s="6"/>
      <c r="Y133" s="6"/>
      <c r="Z133" s="6"/>
      <c r="AA133" s="6"/>
      <c r="AB133" s="6"/>
      <c r="AC133" s="6"/>
    </row>
    <row r="134" spans="1:29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25"/>
      <c r="O134" s="6"/>
      <c r="P134" s="6"/>
      <c r="Q134" s="6"/>
      <c r="R134" s="6"/>
      <c r="S134" s="6"/>
      <c r="T134" s="6"/>
      <c r="U134" s="6"/>
      <c r="V134" s="55"/>
      <c r="W134" s="6"/>
      <c r="X134" s="6"/>
      <c r="Y134" s="6"/>
      <c r="Z134" s="6"/>
      <c r="AA134" s="6"/>
      <c r="AB134" s="6"/>
      <c r="AC134" s="6"/>
    </row>
    <row r="135" spans="1:29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25"/>
      <c r="O135" s="6"/>
      <c r="P135" s="6"/>
      <c r="Q135" s="6"/>
      <c r="R135" s="6"/>
      <c r="S135" s="6"/>
      <c r="T135" s="6"/>
      <c r="U135" s="6"/>
      <c r="V135" s="55"/>
      <c r="W135" s="6"/>
      <c r="X135" s="6"/>
      <c r="Y135" s="6"/>
      <c r="Z135" s="6"/>
      <c r="AA135" s="6"/>
      <c r="AB135" s="6"/>
      <c r="AC135" s="6"/>
    </row>
    <row r="136" spans="1:29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25"/>
      <c r="O136" s="6"/>
      <c r="P136" s="6"/>
      <c r="Q136" s="6"/>
      <c r="R136" s="6"/>
      <c r="S136" s="6"/>
      <c r="T136" s="6"/>
      <c r="U136" s="6"/>
      <c r="V136" s="55"/>
      <c r="W136" s="6"/>
      <c r="X136" s="6"/>
      <c r="Y136" s="6"/>
      <c r="Z136" s="6"/>
      <c r="AA136" s="6"/>
      <c r="AB136" s="6"/>
      <c r="AC136" s="6"/>
    </row>
    <row r="137" spans="1:29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25"/>
      <c r="O137" s="6"/>
      <c r="P137" s="6"/>
      <c r="Q137" s="6"/>
      <c r="R137" s="6"/>
      <c r="S137" s="6"/>
      <c r="T137" s="6"/>
      <c r="U137" s="6"/>
      <c r="V137" s="55"/>
      <c r="W137" s="6"/>
      <c r="X137" s="6"/>
      <c r="Y137" s="6"/>
      <c r="Z137" s="6"/>
      <c r="AA137" s="6"/>
      <c r="AB137" s="6"/>
      <c r="AC137" s="6"/>
    </row>
    <row r="138" spans="1:29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25"/>
      <c r="O138" s="6"/>
      <c r="P138" s="6"/>
      <c r="Q138" s="6"/>
      <c r="R138" s="6"/>
      <c r="S138" s="6"/>
      <c r="T138" s="6"/>
      <c r="U138" s="6"/>
      <c r="V138" s="55"/>
      <c r="W138" s="6"/>
      <c r="X138" s="6"/>
      <c r="Y138" s="6"/>
      <c r="Z138" s="6"/>
      <c r="AA138" s="6"/>
      <c r="AB138" s="6"/>
      <c r="AC138" s="6"/>
    </row>
    <row r="139" spans="1:29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25"/>
      <c r="O139" s="6"/>
      <c r="P139" s="6"/>
      <c r="Q139" s="6"/>
      <c r="R139" s="6"/>
      <c r="S139" s="6"/>
      <c r="T139" s="6"/>
      <c r="U139" s="6"/>
      <c r="V139" s="55"/>
      <c r="W139" s="6"/>
      <c r="X139" s="6"/>
      <c r="Y139" s="6"/>
      <c r="Z139" s="6"/>
      <c r="AA139" s="6"/>
      <c r="AB139" s="6"/>
      <c r="AC139" s="6"/>
    </row>
    <row r="140" spans="1:29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25"/>
      <c r="O140" s="6"/>
      <c r="P140" s="6"/>
      <c r="Q140" s="6"/>
      <c r="R140" s="6"/>
      <c r="S140" s="6"/>
      <c r="T140" s="6"/>
      <c r="U140" s="6"/>
      <c r="V140" s="55"/>
      <c r="W140" s="6"/>
      <c r="X140" s="6"/>
      <c r="Y140" s="6"/>
      <c r="Z140" s="6"/>
      <c r="AA140" s="6"/>
      <c r="AB140" s="6"/>
      <c r="AC140" s="6"/>
    </row>
    <row r="141" spans="1:29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25"/>
      <c r="O141" s="6"/>
      <c r="P141" s="6"/>
      <c r="Q141" s="6"/>
      <c r="R141" s="6"/>
      <c r="S141" s="6"/>
      <c r="T141" s="6"/>
      <c r="U141" s="6"/>
      <c r="V141" s="55"/>
      <c r="W141" s="6"/>
      <c r="X141" s="6"/>
      <c r="Y141" s="6"/>
      <c r="Z141" s="6"/>
      <c r="AA141" s="6"/>
      <c r="AB141" s="6"/>
      <c r="AC141" s="6"/>
    </row>
    <row r="142" spans="1:29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25"/>
      <c r="O142" s="6"/>
      <c r="P142" s="6"/>
      <c r="Q142" s="6"/>
      <c r="R142" s="6"/>
      <c r="S142" s="6"/>
      <c r="T142" s="6"/>
      <c r="U142" s="6"/>
      <c r="V142" s="55"/>
      <c r="W142" s="6"/>
      <c r="X142" s="6"/>
      <c r="Y142" s="6"/>
      <c r="Z142" s="6"/>
      <c r="AA142" s="6"/>
      <c r="AB142" s="6"/>
      <c r="AC142" s="6"/>
    </row>
    <row r="143" spans="1:29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25"/>
      <c r="O143" s="6"/>
      <c r="P143" s="6"/>
      <c r="Q143" s="6"/>
      <c r="R143" s="6"/>
      <c r="S143" s="6"/>
      <c r="T143" s="6"/>
      <c r="U143" s="6"/>
      <c r="V143" s="55"/>
      <c r="W143" s="6"/>
      <c r="X143" s="6"/>
      <c r="Y143" s="6"/>
      <c r="Z143" s="6"/>
      <c r="AA143" s="6"/>
      <c r="AB143" s="6"/>
      <c r="AC143" s="6"/>
    </row>
    <row r="144" spans="1:29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25"/>
      <c r="O144" s="6"/>
      <c r="P144" s="6"/>
      <c r="Q144" s="6"/>
      <c r="R144" s="6"/>
      <c r="S144" s="6"/>
      <c r="T144" s="6"/>
      <c r="U144" s="6"/>
      <c r="V144" s="55"/>
      <c r="W144" s="6"/>
      <c r="X144" s="6"/>
      <c r="Y144" s="6"/>
      <c r="Z144" s="6"/>
      <c r="AA144" s="6"/>
      <c r="AB144" s="6"/>
      <c r="AC144" s="6"/>
    </row>
    <row r="145" spans="1:29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25"/>
      <c r="O145" s="6"/>
      <c r="P145" s="6"/>
      <c r="Q145" s="6"/>
      <c r="R145" s="6"/>
      <c r="S145" s="6"/>
      <c r="T145" s="6"/>
      <c r="U145" s="6"/>
      <c r="V145" s="55"/>
      <c r="W145" s="6"/>
      <c r="X145" s="6"/>
      <c r="Y145" s="6"/>
      <c r="Z145" s="6"/>
      <c r="AA145" s="6"/>
      <c r="AB145" s="6"/>
      <c r="AC145" s="6"/>
    </row>
    <row r="146" spans="1:29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25"/>
      <c r="O146" s="6"/>
      <c r="P146" s="6"/>
      <c r="Q146" s="6"/>
      <c r="R146" s="6"/>
      <c r="S146" s="6"/>
      <c r="T146" s="6"/>
      <c r="U146" s="6"/>
      <c r="V146" s="55"/>
      <c r="W146" s="6"/>
      <c r="X146" s="6"/>
      <c r="Y146" s="6"/>
      <c r="Z146" s="6"/>
      <c r="AA146" s="6"/>
      <c r="AB146" s="6"/>
      <c r="AC146" s="6"/>
    </row>
    <row r="147" spans="1:29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25"/>
      <c r="O147" s="6"/>
      <c r="P147" s="6"/>
      <c r="Q147" s="6"/>
      <c r="R147" s="6"/>
      <c r="S147" s="6"/>
      <c r="T147" s="6"/>
      <c r="U147" s="6"/>
      <c r="V147" s="55"/>
      <c r="W147" s="6"/>
      <c r="X147" s="6"/>
      <c r="Y147" s="6"/>
      <c r="Z147" s="6"/>
      <c r="AA147" s="6"/>
      <c r="AB147" s="6"/>
      <c r="AC147" s="6"/>
    </row>
    <row r="148" spans="1:29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25"/>
      <c r="O148" s="6"/>
      <c r="P148" s="6"/>
      <c r="Q148" s="6"/>
      <c r="R148" s="6"/>
      <c r="S148" s="6"/>
      <c r="T148" s="6"/>
      <c r="U148" s="6"/>
      <c r="V148" s="55"/>
      <c r="W148" s="6"/>
      <c r="X148" s="6"/>
      <c r="Y148" s="6"/>
      <c r="Z148" s="6"/>
      <c r="AA148" s="6"/>
      <c r="AB148" s="6"/>
      <c r="AC148" s="6"/>
    </row>
    <row r="149" spans="1:29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25"/>
      <c r="O149" s="6"/>
      <c r="P149" s="6"/>
      <c r="Q149" s="6"/>
      <c r="R149" s="6"/>
      <c r="S149" s="6"/>
      <c r="T149" s="6"/>
      <c r="U149" s="6"/>
      <c r="V149" s="55"/>
      <c r="W149" s="6"/>
      <c r="X149" s="6"/>
      <c r="Y149" s="6"/>
      <c r="Z149" s="6"/>
      <c r="AA149" s="6"/>
      <c r="AB149" s="6"/>
      <c r="AC149" s="6"/>
    </row>
    <row r="150" spans="1:29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25"/>
      <c r="O150" s="6"/>
      <c r="P150" s="6"/>
      <c r="Q150" s="6"/>
      <c r="R150" s="6"/>
      <c r="S150" s="6"/>
      <c r="T150" s="6"/>
      <c r="U150" s="6"/>
      <c r="V150" s="55"/>
      <c r="W150" s="6"/>
      <c r="X150" s="6"/>
      <c r="Y150" s="6"/>
      <c r="Z150" s="6"/>
      <c r="AA150" s="6"/>
      <c r="AB150" s="6"/>
      <c r="AC150" s="6"/>
    </row>
    <row r="151" spans="1:29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25"/>
      <c r="O151" s="6"/>
      <c r="P151" s="6"/>
      <c r="Q151" s="6"/>
      <c r="R151" s="6"/>
      <c r="S151" s="6"/>
      <c r="T151" s="6"/>
      <c r="U151" s="6"/>
      <c r="V151" s="55"/>
      <c r="W151" s="6"/>
      <c r="X151" s="6"/>
      <c r="Y151" s="6"/>
      <c r="Z151" s="6"/>
      <c r="AA151" s="6"/>
      <c r="AB151" s="6"/>
      <c r="AC151" s="6"/>
    </row>
    <row r="152" spans="1:29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25"/>
      <c r="O152" s="6"/>
      <c r="P152" s="6"/>
      <c r="Q152" s="6"/>
      <c r="R152" s="6"/>
      <c r="S152" s="6"/>
      <c r="T152" s="6"/>
      <c r="U152" s="6"/>
      <c r="V152" s="55"/>
      <c r="W152" s="6"/>
      <c r="X152" s="6"/>
      <c r="Y152" s="6"/>
      <c r="Z152" s="6"/>
      <c r="AA152" s="6"/>
      <c r="AB152" s="6"/>
      <c r="AC152" s="6"/>
    </row>
    <row r="153" spans="1:29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25"/>
      <c r="O153" s="6"/>
      <c r="P153" s="6"/>
      <c r="Q153" s="6"/>
      <c r="R153" s="6"/>
      <c r="S153" s="6"/>
      <c r="T153" s="6"/>
      <c r="U153" s="6"/>
      <c r="V153" s="55"/>
      <c r="W153" s="6"/>
      <c r="X153" s="6"/>
      <c r="Y153" s="6"/>
      <c r="Z153" s="6"/>
      <c r="AA153" s="6"/>
      <c r="AB153" s="6"/>
      <c r="AC153" s="6"/>
    </row>
    <row r="154" spans="1:29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25"/>
      <c r="O154" s="6"/>
      <c r="P154" s="6"/>
      <c r="Q154" s="6"/>
      <c r="R154" s="6"/>
      <c r="S154" s="6"/>
      <c r="T154" s="6"/>
      <c r="U154" s="6"/>
      <c r="V154" s="55"/>
      <c r="W154" s="6"/>
      <c r="X154" s="6"/>
      <c r="Y154" s="6"/>
      <c r="Z154" s="6"/>
      <c r="AA154" s="6"/>
      <c r="AB154" s="6"/>
      <c r="AC154" s="6"/>
    </row>
    <row r="155" spans="1:29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25"/>
      <c r="O155" s="6"/>
      <c r="P155" s="6"/>
      <c r="Q155" s="6"/>
      <c r="R155" s="6"/>
      <c r="S155" s="6"/>
      <c r="T155" s="6"/>
      <c r="U155" s="6"/>
      <c r="V155" s="55"/>
      <c r="W155" s="6"/>
      <c r="X155" s="6"/>
      <c r="Y155" s="6"/>
      <c r="Z155" s="6"/>
      <c r="AA155" s="6"/>
      <c r="AB155" s="6"/>
      <c r="AC155" s="6"/>
    </row>
    <row r="156" spans="1:29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25"/>
      <c r="O156" s="6"/>
      <c r="P156" s="6"/>
      <c r="Q156" s="6"/>
      <c r="R156" s="6"/>
      <c r="S156" s="6"/>
      <c r="T156" s="6"/>
      <c r="U156" s="6"/>
      <c r="V156" s="55"/>
      <c r="W156" s="6"/>
      <c r="X156" s="6"/>
      <c r="Y156" s="6"/>
      <c r="Z156" s="6"/>
      <c r="AA156" s="6"/>
      <c r="AB156" s="6"/>
      <c r="AC156" s="6"/>
    </row>
    <row r="157" spans="1:29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25"/>
      <c r="O157" s="6"/>
      <c r="P157" s="6"/>
      <c r="Q157" s="6"/>
      <c r="R157" s="6"/>
      <c r="S157" s="6"/>
      <c r="T157" s="6"/>
      <c r="U157" s="6"/>
      <c r="V157" s="55"/>
      <c r="W157" s="6"/>
      <c r="X157" s="6"/>
      <c r="Y157" s="6"/>
      <c r="Z157" s="6"/>
      <c r="AA157" s="6"/>
      <c r="AB157" s="6"/>
      <c r="AC157" s="6"/>
    </row>
    <row r="158" spans="1:29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25"/>
      <c r="O158" s="6"/>
      <c r="P158" s="6"/>
      <c r="Q158" s="6"/>
      <c r="R158" s="6"/>
      <c r="S158" s="6"/>
      <c r="T158" s="6"/>
      <c r="U158" s="6"/>
      <c r="V158" s="55"/>
      <c r="W158" s="6"/>
      <c r="X158" s="6"/>
      <c r="Y158" s="6"/>
      <c r="Z158" s="6"/>
      <c r="AA158" s="6"/>
      <c r="AB158" s="6"/>
      <c r="AC158" s="6"/>
    </row>
    <row r="159" spans="1:29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25"/>
      <c r="O159" s="6"/>
      <c r="P159" s="6"/>
      <c r="Q159" s="6"/>
      <c r="R159" s="6"/>
      <c r="S159" s="6"/>
      <c r="T159" s="6"/>
      <c r="U159" s="6"/>
      <c r="V159" s="55"/>
      <c r="W159" s="6"/>
      <c r="X159" s="6"/>
      <c r="Y159" s="6"/>
      <c r="Z159" s="6"/>
      <c r="AA159" s="6"/>
      <c r="AB159" s="6"/>
      <c r="AC159" s="6"/>
    </row>
    <row r="160" spans="1:29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25"/>
      <c r="O160" s="6"/>
      <c r="P160" s="6"/>
      <c r="Q160" s="6"/>
      <c r="R160" s="6"/>
      <c r="S160" s="6"/>
      <c r="T160" s="6"/>
      <c r="U160" s="6"/>
      <c r="V160" s="55"/>
      <c r="W160" s="6"/>
      <c r="X160" s="6"/>
      <c r="Y160" s="6"/>
      <c r="Z160" s="6"/>
      <c r="AA160" s="6"/>
      <c r="AB160" s="6"/>
      <c r="AC160" s="6"/>
    </row>
    <row r="161" spans="1:29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25"/>
      <c r="O161" s="6"/>
      <c r="P161" s="6"/>
      <c r="Q161" s="6"/>
      <c r="R161" s="6"/>
      <c r="S161" s="6"/>
      <c r="T161" s="6"/>
      <c r="U161" s="6"/>
      <c r="V161" s="55"/>
      <c r="W161" s="6"/>
      <c r="X161" s="6"/>
      <c r="Y161" s="6"/>
      <c r="Z161" s="6"/>
      <c r="AA161" s="6"/>
      <c r="AB161" s="6"/>
      <c r="AC161" s="6"/>
    </row>
    <row r="162" spans="1:29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25"/>
      <c r="O162" s="6"/>
      <c r="P162" s="6"/>
      <c r="Q162" s="6"/>
      <c r="R162" s="6"/>
      <c r="S162" s="6"/>
      <c r="T162" s="6"/>
      <c r="U162" s="6"/>
      <c r="V162" s="55"/>
      <c r="W162" s="6"/>
      <c r="X162" s="6"/>
      <c r="Y162" s="6"/>
      <c r="Z162" s="6"/>
      <c r="AA162" s="6"/>
      <c r="AB162" s="6"/>
      <c r="AC162" s="6"/>
    </row>
    <row r="163" spans="1:29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25"/>
      <c r="O163" s="6"/>
      <c r="P163" s="6"/>
      <c r="Q163" s="6"/>
      <c r="R163" s="6"/>
      <c r="S163" s="6"/>
      <c r="T163" s="6"/>
      <c r="U163" s="6"/>
      <c r="V163" s="55"/>
      <c r="W163" s="6"/>
      <c r="X163" s="6"/>
      <c r="Y163" s="6"/>
      <c r="Z163" s="6"/>
      <c r="AA163" s="6"/>
      <c r="AB163" s="6"/>
      <c r="AC163" s="6"/>
    </row>
    <row r="164" spans="1:29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25"/>
      <c r="O164" s="6"/>
      <c r="P164" s="6"/>
      <c r="Q164" s="6"/>
      <c r="R164" s="6"/>
      <c r="S164" s="6"/>
      <c r="T164" s="6"/>
      <c r="U164" s="6"/>
      <c r="V164" s="55"/>
      <c r="W164" s="6"/>
      <c r="X164" s="6"/>
      <c r="Y164" s="6"/>
      <c r="Z164" s="6"/>
      <c r="AA164" s="6"/>
      <c r="AB164" s="6"/>
      <c r="AC164" s="6"/>
    </row>
    <row r="165" spans="1:29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25"/>
      <c r="O165" s="6"/>
      <c r="P165" s="6"/>
      <c r="Q165" s="6"/>
      <c r="R165" s="6"/>
      <c r="S165" s="6"/>
      <c r="T165" s="6"/>
      <c r="U165" s="6"/>
      <c r="V165" s="55"/>
      <c r="W165" s="6"/>
      <c r="X165" s="6"/>
      <c r="Y165" s="6"/>
      <c r="Z165" s="6"/>
      <c r="AA165" s="6"/>
      <c r="AB165" s="6"/>
      <c r="AC165" s="6"/>
    </row>
    <row r="166" spans="1:29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25"/>
      <c r="O166" s="6"/>
      <c r="P166" s="6"/>
      <c r="Q166" s="6"/>
      <c r="R166" s="6"/>
      <c r="S166" s="6"/>
      <c r="T166" s="6"/>
      <c r="U166" s="6"/>
      <c r="V166" s="55"/>
      <c r="W166" s="6"/>
      <c r="X166" s="6"/>
      <c r="Y166" s="6"/>
      <c r="Z166" s="6"/>
      <c r="AA166" s="6"/>
      <c r="AB166" s="6"/>
      <c r="AC166" s="6"/>
    </row>
    <row r="167" spans="1:29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25"/>
      <c r="O167" s="6"/>
      <c r="P167" s="6"/>
      <c r="Q167" s="6"/>
      <c r="R167" s="6"/>
      <c r="S167" s="6"/>
      <c r="T167" s="6"/>
      <c r="U167" s="6"/>
      <c r="V167" s="55"/>
      <c r="W167" s="6"/>
      <c r="X167" s="6"/>
      <c r="Y167" s="6"/>
      <c r="Z167" s="6"/>
      <c r="AA167" s="6"/>
      <c r="AB167" s="6"/>
      <c r="AC167" s="6"/>
    </row>
    <row r="168" spans="1:29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25"/>
      <c r="O168" s="6"/>
      <c r="P168" s="6"/>
      <c r="Q168" s="6"/>
      <c r="R168" s="6"/>
      <c r="S168" s="6"/>
      <c r="T168" s="6"/>
      <c r="U168" s="6"/>
      <c r="V168" s="55"/>
      <c r="W168" s="6"/>
      <c r="X168" s="6"/>
      <c r="Y168" s="6"/>
      <c r="Z168" s="6"/>
      <c r="AA168" s="6"/>
      <c r="AB168" s="6"/>
      <c r="AC168" s="6"/>
    </row>
    <row r="169" spans="1:29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25"/>
      <c r="O169" s="6"/>
      <c r="P169" s="6"/>
      <c r="Q169" s="6"/>
      <c r="R169" s="6"/>
      <c r="S169" s="6"/>
      <c r="T169" s="6"/>
      <c r="U169" s="6"/>
      <c r="V169" s="55"/>
      <c r="W169" s="6"/>
      <c r="X169" s="6"/>
      <c r="Y169" s="6"/>
      <c r="Z169" s="6"/>
      <c r="AA169" s="6"/>
      <c r="AB169" s="6"/>
      <c r="AC169" s="6"/>
    </row>
    <row r="170" spans="1:29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25"/>
      <c r="O170" s="6"/>
      <c r="P170" s="6"/>
      <c r="Q170" s="6"/>
      <c r="R170" s="6"/>
      <c r="S170" s="6"/>
      <c r="T170" s="6"/>
      <c r="U170" s="6"/>
      <c r="V170" s="55"/>
      <c r="W170" s="6"/>
      <c r="X170" s="6"/>
      <c r="Y170" s="6"/>
      <c r="Z170" s="6"/>
      <c r="AA170" s="6"/>
      <c r="AB170" s="6"/>
      <c r="AC170" s="6"/>
    </row>
    <row r="171" spans="1:29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25"/>
      <c r="O171" s="6"/>
      <c r="P171" s="6"/>
      <c r="Q171" s="6"/>
      <c r="R171" s="6"/>
      <c r="S171" s="6"/>
      <c r="T171" s="6"/>
      <c r="U171" s="6"/>
      <c r="V171" s="55"/>
      <c r="W171" s="6"/>
      <c r="X171" s="6"/>
      <c r="Y171" s="6"/>
      <c r="Z171" s="6"/>
      <c r="AA171" s="6"/>
      <c r="AB171" s="6"/>
      <c r="AC171" s="6"/>
    </row>
    <row r="172" spans="1:29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25"/>
      <c r="O172" s="6"/>
      <c r="P172" s="6"/>
      <c r="Q172" s="6"/>
      <c r="R172" s="6"/>
      <c r="S172" s="6"/>
      <c r="T172" s="6"/>
      <c r="U172" s="6"/>
      <c r="V172" s="55"/>
      <c r="W172" s="6"/>
      <c r="X172" s="6"/>
      <c r="Y172" s="6"/>
      <c r="Z172" s="6"/>
      <c r="AA172" s="6"/>
      <c r="AB172" s="6"/>
      <c r="AC172" s="6"/>
    </row>
    <row r="173" spans="1:29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25"/>
      <c r="O173" s="6"/>
      <c r="P173" s="6"/>
      <c r="Q173" s="6"/>
      <c r="R173" s="6"/>
      <c r="S173" s="6"/>
      <c r="T173" s="6"/>
      <c r="U173" s="6"/>
      <c r="V173" s="55"/>
      <c r="W173" s="6"/>
      <c r="X173" s="6"/>
      <c r="Y173" s="6"/>
      <c r="Z173" s="6"/>
      <c r="AA173" s="6"/>
      <c r="AB173" s="6"/>
      <c r="AC173" s="6"/>
    </row>
    <row r="174" spans="1:29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25"/>
      <c r="O174" s="6"/>
      <c r="P174" s="6"/>
      <c r="Q174" s="6"/>
      <c r="R174" s="6"/>
      <c r="S174" s="6"/>
      <c r="T174" s="6"/>
      <c r="U174" s="6"/>
      <c r="V174" s="55"/>
      <c r="W174" s="6"/>
      <c r="X174" s="6"/>
      <c r="Y174" s="6"/>
      <c r="Z174" s="6"/>
      <c r="AA174" s="6"/>
      <c r="AB174" s="6"/>
      <c r="AC174" s="6"/>
    </row>
    <row r="175" spans="1:29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25"/>
      <c r="O175" s="6"/>
      <c r="P175" s="6"/>
      <c r="Q175" s="6"/>
      <c r="R175" s="6"/>
      <c r="S175" s="6"/>
      <c r="T175" s="6"/>
      <c r="U175" s="6"/>
      <c r="V175" s="55"/>
      <c r="W175" s="6"/>
      <c r="X175" s="6"/>
      <c r="Y175" s="6"/>
      <c r="Z175" s="6"/>
      <c r="AA175" s="6"/>
      <c r="AB175" s="6"/>
      <c r="AC175" s="6"/>
    </row>
    <row r="176" spans="1:29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25"/>
      <c r="O176" s="6"/>
      <c r="P176" s="6"/>
      <c r="Q176" s="6"/>
      <c r="R176" s="6"/>
      <c r="S176" s="6"/>
      <c r="T176" s="6"/>
      <c r="U176" s="6"/>
      <c r="V176" s="55"/>
      <c r="W176" s="6"/>
      <c r="X176" s="6"/>
      <c r="Y176" s="6"/>
      <c r="Z176" s="6"/>
      <c r="AA176" s="6"/>
      <c r="AB176" s="6"/>
      <c r="AC176" s="6"/>
    </row>
    <row r="177" spans="1:29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25"/>
      <c r="O177" s="6"/>
      <c r="P177" s="6"/>
      <c r="Q177" s="6"/>
      <c r="R177" s="6"/>
      <c r="S177" s="6"/>
      <c r="T177" s="6"/>
      <c r="U177" s="6"/>
      <c r="V177" s="55"/>
      <c r="W177" s="6"/>
      <c r="X177" s="6"/>
      <c r="Y177" s="6"/>
      <c r="Z177" s="6"/>
      <c r="AA177" s="6"/>
      <c r="AB177" s="6"/>
      <c r="AC177" s="6"/>
    </row>
    <row r="178" spans="1:29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25"/>
      <c r="O178" s="6"/>
      <c r="P178" s="6"/>
      <c r="Q178" s="6"/>
      <c r="R178" s="6"/>
      <c r="S178" s="6"/>
      <c r="T178" s="6"/>
      <c r="U178" s="6"/>
      <c r="V178" s="55"/>
      <c r="W178" s="6"/>
      <c r="X178" s="6"/>
      <c r="Y178" s="6"/>
      <c r="Z178" s="6"/>
      <c r="AA178" s="6"/>
      <c r="AB178" s="6"/>
      <c r="AC178" s="6"/>
    </row>
    <row r="179" spans="1:29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25"/>
      <c r="O179" s="6"/>
      <c r="P179" s="6"/>
      <c r="Q179" s="6"/>
      <c r="R179" s="6"/>
      <c r="S179" s="6"/>
      <c r="T179" s="6"/>
      <c r="U179" s="6"/>
      <c r="V179" s="55"/>
      <c r="W179" s="6"/>
      <c r="X179" s="6"/>
      <c r="Y179" s="6"/>
      <c r="Z179" s="6"/>
      <c r="AA179" s="6"/>
      <c r="AB179" s="6"/>
      <c r="AC179" s="6"/>
    </row>
    <row r="180" spans="1:29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25"/>
      <c r="O180" s="6"/>
      <c r="P180" s="6"/>
      <c r="Q180" s="6"/>
      <c r="R180" s="6"/>
      <c r="S180" s="6"/>
      <c r="T180" s="6"/>
      <c r="U180" s="6"/>
      <c r="V180" s="55"/>
      <c r="W180" s="6"/>
      <c r="X180" s="6"/>
      <c r="Y180" s="6"/>
      <c r="Z180" s="6"/>
      <c r="AA180" s="6"/>
      <c r="AB180" s="6"/>
      <c r="AC180" s="6"/>
    </row>
    <row r="181" spans="1:29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25"/>
      <c r="O181" s="6"/>
      <c r="P181" s="6"/>
      <c r="Q181" s="6"/>
      <c r="R181" s="6"/>
      <c r="S181" s="6"/>
      <c r="T181" s="6"/>
      <c r="U181" s="6"/>
      <c r="V181" s="55"/>
      <c r="W181" s="6"/>
      <c r="X181" s="6"/>
      <c r="Y181" s="6"/>
      <c r="Z181" s="6"/>
      <c r="AA181" s="6"/>
      <c r="AB181" s="6"/>
      <c r="AC181" s="6"/>
    </row>
    <row r="182" spans="1:29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25"/>
      <c r="O182" s="6"/>
      <c r="P182" s="6"/>
      <c r="Q182" s="6"/>
      <c r="R182" s="6"/>
      <c r="S182" s="6"/>
      <c r="T182" s="6"/>
      <c r="U182" s="6"/>
      <c r="V182" s="55"/>
      <c r="W182" s="6"/>
      <c r="X182" s="6"/>
      <c r="Y182" s="6"/>
      <c r="Z182" s="6"/>
      <c r="AA182" s="6"/>
      <c r="AB182" s="6"/>
      <c r="AC182" s="6"/>
    </row>
    <row r="183" spans="1:29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25"/>
      <c r="O183" s="6"/>
      <c r="P183" s="6"/>
      <c r="Q183" s="6"/>
      <c r="R183" s="6"/>
      <c r="S183" s="6"/>
      <c r="T183" s="6"/>
      <c r="U183" s="6"/>
      <c r="V183" s="55"/>
      <c r="W183" s="6"/>
      <c r="X183" s="6"/>
      <c r="Y183" s="6"/>
      <c r="Z183" s="6"/>
      <c r="AA183" s="6"/>
      <c r="AB183" s="6"/>
      <c r="AC183" s="6"/>
    </row>
    <row r="184" spans="1:29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25"/>
      <c r="O184" s="6"/>
      <c r="P184" s="6"/>
      <c r="Q184" s="6"/>
      <c r="R184" s="6"/>
      <c r="S184" s="6"/>
      <c r="T184" s="6"/>
      <c r="U184" s="6"/>
      <c r="V184" s="55"/>
      <c r="W184" s="6"/>
      <c r="X184" s="6"/>
      <c r="Y184" s="6"/>
      <c r="Z184" s="6"/>
      <c r="AA184" s="6"/>
      <c r="AB184" s="6"/>
      <c r="AC184" s="6"/>
    </row>
    <row r="185" spans="1:29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25"/>
      <c r="O185" s="6"/>
      <c r="P185" s="6"/>
      <c r="Q185" s="6"/>
      <c r="R185" s="6"/>
      <c r="S185" s="6"/>
      <c r="T185" s="6"/>
      <c r="U185" s="6"/>
      <c r="V185" s="55"/>
      <c r="W185" s="6"/>
      <c r="X185" s="6"/>
      <c r="Y185" s="6"/>
      <c r="Z185" s="6"/>
      <c r="AA185" s="6"/>
      <c r="AB185" s="6"/>
      <c r="AC185" s="6"/>
    </row>
    <row r="186" spans="1:29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25"/>
      <c r="O186" s="6"/>
      <c r="P186" s="6"/>
      <c r="Q186" s="6"/>
      <c r="R186" s="6"/>
      <c r="S186" s="6"/>
      <c r="T186" s="6"/>
      <c r="U186" s="6"/>
      <c r="V186" s="55"/>
      <c r="W186" s="6"/>
      <c r="X186" s="6"/>
      <c r="Y186" s="6"/>
      <c r="Z186" s="6"/>
      <c r="AA186" s="6"/>
      <c r="AB186" s="6"/>
      <c r="AC186" s="6"/>
    </row>
    <row r="187" spans="1:29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25"/>
      <c r="O187" s="6"/>
      <c r="P187" s="6"/>
      <c r="Q187" s="6"/>
      <c r="R187" s="6"/>
      <c r="S187" s="6"/>
      <c r="T187" s="6"/>
      <c r="U187" s="6"/>
      <c r="V187" s="55"/>
      <c r="W187" s="6"/>
      <c r="X187" s="6"/>
      <c r="Y187" s="6"/>
      <c r="Z187" s="6"/>
      <c r="AA187" s="6"/>
      <c r="AB187" s="6"/>
      <c r="AC187" s="6"/>
    </row>
    <row r="188" spans="1:29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25"/>
      <c r="O188" s="6"/>
      <c r="P188" s="6"/>
      <c r="Q188" s="6"/>
      <c r="R188" s="6"/>
      <c r="S188" s="6"/>
      <c r="T188" s="6"/>
      <c r="U188" s="6"/>
      <c r="V188" s="55"/>
      <c r="W188" s="6"/>
      <c r="X188" s="6"/>
      <c r="Y188" s="6"/>
      <c r="Z188" s="6"/>
      <c r="AA188" s="6"/>
      <c r="AB188" s="6"/>
      <c r="AC188" s="6"/>
    </row>
    <row r="189" spans="1:29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25"/>
      <c r="O189" s="6"/>
      <c r="P189" s="6"/>
      <c r="Q189" s="6"/>
      <c r="R189" s="6"/>
      <c r="S189" s="6"/>
      <c r="T189" s="6"/>
      <c r="U189" s="6"/>
      <c r="V189" s="55"/>
      <c r="W189" s="6"/>
      <c r="X189" s="6"/>
      <c r="Y189" s="6"/>
      <c r="Z189" s="6"/>
      <c r="AA189" s="6"/>
      <c r="AB189" s="6"/>
      <c r="AC189" s="6"/>
    </row>
    <row r="190" spans="1:29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25"/>
      <c r="O190" s="6"/>
      <c r="P190" s="6"/>
      <c r="Q190" s="6"/>
      <c r="R190" s="6"/>
      <c r="S190" s="6"/>
      <c r="T190" s="6"/>
      <c r="U190" s="6"/>
      <c r="V190" s="55"/>
      <c r="W190" s="6"/>
      <c r="X190" s="6"/>
      <c r="Y190" s="6"/>
      <c r="Z190" s="6"/>
      <c r="AA190" s="6"/>
      <c r="AB190" s="6"/>
      <c r="AC190" s="6"/>
    </row>
    <row r="191" spans="1:29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25"/>
      <c r="O191" s="6"/>
      <c r="P191" s="6"/>
      <c r="Q191" s="6"/>
      <c r="R191" s="6"/>
      <c r="S191" s="6"/>
      <c r="T191" s="6"/>
      <c r="U191" s="6"/>
      <c r="V191" s="55"/>
      <c r="W191" s="6"/>
      <c r="X191" s="6"/>
      <c r="Y191" s="6"/>
      <c r="Z191" s="6"/>
      <c r="AA191" s="6"/>
      <c r="AB191" s="6"/>
      <c r="AC191" s="6"/>
    </row>
    <row r="192" spans="1:29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25"/>
      <c r="O192" s="6"/>
      <c r="P192" s="6"/>
      <c r="Q192" s="6"/>
      <c r="R192" s="6"/>
      <c r="S192" s="6"/>
      <c r="T192" s="6"/>
      <c r="U192" s="6"/>
      <c r="V192" s="55"/>
      <c r="W192" s="6"/>
      <c r="X192" s="6"/>
      <c r="Y192" s="6"/>
      <c r="Z192" s="6"/>
      <c r="AA192" s="6"/>
      <c r="AB192" s="6"/>
      <c r="AC192" s="6"/>
    </row>
    <row r="193" spans="1:29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25"/>
      <c r="O193" s="6"/>
      <c r="P193" s="6"/>
      <c r="Q193" s="6"/>
      <c r="R193" s="6"/>
      <c r="S193" s="6"/>
      <c r="T193" s="6"/>
      <c r="U193" s="6"/>
      <c r="V193" s="55"/>
      <c r="W193" s="6"/>
      <c r="X193" s="6"/>
      <c r="Y193" s="6"/>
      <c r="Z193" s="6"/>
      <c r="AA193" s="6"/>
      <c r="AB193" s="6"/>
      <c r="AC193" s="6"/>
    </row>
    <row r="194" spans="1:29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25"/>
      <c r="O194" s="6"/>
      <c r="P194" s="6"/>
      <c r="Q194" s="6"/>
      <c r="R194" s="6"/>
      <c r="S194" s="6"/>
      <c r="T194" s="6"/>
      <c r="U194" s="6"/>
      <c r="V194" s="55"/>
      <c r="W194" s="6"/>
      <c r="X194" s="6"/>
      <c r="Y194" s="6"/>
      <c r="Z194" s="6"/>
      <c r="AA194" s="6"/>
      <c r="AB194" s="6"/>
      <c r="AC194" s="6"/>
    </row>
    <row r="195" spans="1:29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25"/>
      <c r="O195" s="6"/>
      <c r="P195" s="6"/>
      <c r="Q195" s="6"/>
      <c r="R195" s="6"/>
      <c r="S195" s="6"/>
      <c r="T195" s="6"/>
      <c r="U195" s="6"/>
      <c r="V195" s="55"/>
      <c r="W195" s="6"/>
      <c r="X195" s="6"/>
      <c r="Y195" s="6"/>
      <c r="Z195" s="6"/>
      <c r="AA195" s="6"/>
      <c r="AB195" s="6"/>
      <c r="AC195" s="6"/>
    </row>
    <row r="196" spans="1:29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25"/>
      <c r="O196" s="6"/>
      <c r="P196" s="6"/>
      <c r="Q196" s="6"/>
      <c r="R196" s="6"/>
      <c r="S196" s="6"/>
      <c r="T196" s="6"/>
      <c r="U196" s="6"/>
      <c r="V196" s="55"/>
      <c r="W196" s="6"/>
      <c r="X196" s="6"/>
      <c r="Y196" s="6"/>
      <c r="Z196" s="6"/>
      <c r="AA196" s="6"/>
      <c r="AB196" s="6"/>
      <c r="AC196" s="6"/>
    </row>
    <row r="197" spans="1:29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25"/>
      <c r="O197" s="6"/>
      <c r="P197" s="6"/>
      <c r="Q197" s="6"/>
      <c r="R197" s="6"/>
      <c r="S197" s="6"/>
      <c r="T197" s="6"/>
      <c r="U197" s="6"/>
      <c r="V197" s="55"/>
      <c r="W197" s="6"/>
      <c r="X197" s="6"/>
      <c r="Y197" s="6"/>
      <c r="Z197" s="6"/>
      <c r="AA197" s="6"/>
      <c r="AB197" s="6"/>
      <c r="AC197" s="6"/>
    </row>
    <row r="198" spans="1:29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25"/>
      <c r="O198" s="6"/>
      <c r="P198" s="6"/>
      <c r="Q198" s="6"/>
      <c r="R198" s="6"/>
      <c r="S198" s="6"/>
      <c r="T198" s="6"/>
      <c r="U198" s="6"/>
      <c r="V198" s="55"/>
      <c r="W198" s="6"/>
      <c r="X198" s="6"/>
      <c r="Y198" s="6"/>
      <c r="Z198" s="6"/>
      <c r="AA198" s="6"/>
      <c r="AB198" s="6"/>
      <c r="AC198" s="6"/>
    </row>
    <row r="199" spans="1:29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25"/>
      <c r="O199" s="6"/>
      <c r="P199" s="6"/>
      <c r="Q199" s="6"/>
      <c r="R199" s="6"/>
      <c r="S199" s="6"/>
      <c r="T199" s="6"/>
      <c r="U199" s="6"/>
      <c r="V199" s="55"/>
      <c r="W199" s="6"/>
      <c r="X199" s="6"/>
      <c r="Y199" s="6"/>
      <c r="Z199" s="6"/>
      <c r="AA199" s="6"/>
      <c r="AB199" s="6"/>
      <c r="AC199" s="6"/>
    </row>
    <row r="200" spans="1:29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25"/>
      <c r="O200" s="6"/>
      <c r="P200" s="6"/>
      <c r="Q200" s="6"/>
      <c r="R200" s="6"/>
      <c r="S200" s="6"/>
      <c r="T200" s="6"/>
      <c r="U200" s="6"/>
      <c r="V200" s="55"/>
      <c r="W200" s="6"/>
      <c r="X200" s="6"/>
      <c r="Y200" s="6"/>
      <c r="Z200" s="6"/>
      <c r="AA200" s="6"/>
      <c r="AB200" s="6"/>
      <c r="AC200" s="6"/>
    </row>
    <row r="201" spans="1:29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25"/>
      <c r="O201" s="6"/>
      <c r="P201" s="6"/>
      <c r="Q201" s="6"/>
      <c r="R201" s="6"/>
      <c r="S201" s="6"/>
      <c r="T201" s="6"/>
      <c r="U201" s="6"/>
      <c r="V201" s="55"/>
      <c r="W201" s="6"/>
      <c r="X201" s="6"/>
      <c r="Y201" s="6"/>
      <c r="Z201" s="6"/>
      <c r="AA201" s="6"/>
      <c r="AB201" s="6"/>
      <c r="AC201" s="6"/>
    </row>
    <row r="202" spans="1:29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25"/>
      <c r="O202" s="6"/>
      <c r="P202" s="6"/>
      <c r="Q202" s="6"/>
      <c r="R202" s="6"/>
      <c r="S202" s="6"/>
      <c r="T202" s="6"/>
      <c r="U202" s="6"/>
      <c r="V202" s="55"/>
      <c r="W202" s="6"/>
      <c r="X202" s="6"/>
      <c r="Y202" s="6"/>
      <c r="Z202" s="6"/>
      <c r="AA202" s="6"/>
      <c r="AB202" s="6"/>
      <c r="AC202" s="6"/>
    </row>
    <row r="203" spans="1:29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25"/>
      <c r="O203" s="6"/>
      <c r="P203" s="6"/>
      <c r="Q203" s="6"/>
      <c r="R203" s="6"/>
      <c r="S203" s="6"/>
      <c r="T203" s="6"/>
      <c r="U203" s="6"/>
      <c r="V203" s="55"/>
      <c r="W203" s="6"/>
      <c r="X203" s="6"/>
      <c r="Y203" s="6"/>
      <c r="Z203" s="6"/>
      <c r="AA203" s="6"/>
      <c r="AB203" s="6"/>
      <c r="AC203" s="6"/>
    </row>
    <row r="204" spans="1:29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25"/>
      <c r="O204" s="6"/>
      <c r="P204" s="6"/>
      <c r="Q204" s="6"/>
      <c r="R204" s="6"/>
      <c r="S204" s="6"/>
      <c r="T204" s="6"/>
      <c r="U204" s="6"/>
      <c r="V204" s="55"/>
      <c r="W204" s="6"/>
      <c r="X204" s="6"/>
      <c r="Y204" s="6"/>
      <c r="Z204" s="6"/>
      <c r="AA204" s="6"/>
      <c r="AB204" s="6"/>
      <c r="AC204" s="6"/>
    </row>
    <row r="205" spans="1:29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25"/>
      <c r="O205" s="6"/>
      <c r="P205" s="6"/>
      <c r="Q205" s="6"/>
      <c r="R205" s="6"/>
      <c r="S205" s="6"/>
      <c r="T205" s="6"/>
      <c r="U205" s="6"/>
      <c r="V205" s="55"/>
      <c r="W205" s="6"/>
      <c r="X205" s="6"/>
      <c r="Y205" s="6"/>
      <c r="Z205" s="6"/>
      <c r="AA205" s="6"/>
      <c r="AB205" s="6"/>
      <c r="AC205" s="6"/>
    </row>
    <row r="206" spans="1:29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25"/>
      <c r="O206" s="6"/>
      <c r="P206" s="6"/>
      <c r="Q206" s="6"/>
      <c r="R206" s="6"/>
      <c r="S206" s="6"/>
      <c r="T206" s="6"/>
      <c r="U206" s="6"/>
      <c r="V206" s="55"/>
      <c r="W206" s="6"/>
      <c r="X206" s="6"/>
      <c r="Y206" s="6"/>
      <c r="Z206" s="6"/>
      <c r="AA206" s="6"/>
      <c r="AB206" s="6"/>
      <c r="AC206" s="6"/>
    </row>
    <row r="207" spans="1:29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25"/>
      <c r="O207" s="6"/>
      <c r="P207" s="6"/>
      <c r="Q207" s="6"/>
      <c r="R207" s="6"/>
      <c r="S207" s="6"/>
      <c r="T207" s="6"/>
      <c r="U207" s="6"/>
      <c r="V207" s="55"/>
      <c r="W207" s="6"/>
      <c r="X207" s="6"/>
      <c r="Y207" s="6"/>
      <c r="Z207" s="6"/>
      <c r="AA207" s="6"/>
      <c r="AB207" s="6"/>
      <c r="AC207" s="6"/>
    </row>
    <row r="208" spans="1:29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25"/>
      <c r="O208" s="6"/>
      <c r="P208" s="6"/>
      <c r="Q208" s="6"/>
      <c r="R208" s="6"/>
      <c r="S208" s="6"/>
      <c r="T208" s="6"/>
      <c r="U208" s="6"/>
      <c r="V208" s="55"/>
      <c r="W208" s="6"/>
      <c r="X208" s="6"/>
      <c r="Y208" s="6"/>
      <c r="Z208" s="6"/>
      <c r="AA208" s="6"/>
      <c r="AB208" s="6"/>
      <c r="AC208" s="6"/>
    </row>
    <row r="209" spans="1:29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25"/>
      <c r="O209" s="6"/>
      <c r="P209" s="6"/>
      <c r="Q209" s="6"/>
      <c r="R209" s="6"/>
      <c r="S209" s="6"/>
      <c r="T209" s="6"/>
      <c r="U209" s="6"/>
      <c r="V209" s="55"/>
      <c r="W209" s="6"/>
      <c r="X209" s="6"/>
      <c r="Y209" s="6"/>
      <c r="Z209" s="6"/>
      <c r="AA209" s="6"/>
      <c r="AB209" s="6"/>
      <c r="AC209" s="6"/>
    </row>
    <row r="210" spans="1:29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25"/>
      <c r="O210" s="6"/>
      <c r="P210" s="6"/>
      <c r="Q210" s="6"/>
      <c r="R210" s="6"/>
      <c r="S210" s="6"/>
      <c r="T210" s="6"/>
      <c r="U210" s="6"/>
      <c r="V210" s="55"/>
      <c r="W210" s="6"/>
      <c r="X210" s="6"/>
      <c r="Y210" s="6"/>
      <c r="Z210" s="6"/>
      <c r="AA210" s="6"/>
      <c r="AB210" s="6"/>
      <c r="AC210" s="6"/>
    </row>
    <row r="211" spans="1:29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25"/>
      <c r="O211" s="6"/>
      <c r="P211" s="6"/>
      <c r="Q211" s="6"/>
      <c r="R211" s="6"/>
      <c r="S211" s="6"/>
      <c r="T211" s="6"/>
      <c r="U211" s="6"/>
      <c r="V211" s="55"/>
      <c r="W211" s="6"/>
      <c r="X211" s="6"/>
      <c r="Y211" s="6"/>
      <c r="Z211" s="6"/>
      <c r="AA211" s="6"/>
      <c r="AB211" s="6"/>
      <c r="AC211" s="6"/>
    </row>
    <row r="212" spans="1:29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25"/>
      <c r="O212" s="6"/>
      <c r="P212" s="6"/>
      <c r="Q212" s="6"/>
      <c r="R212" s="6"/>
      <c r="S212" s="6"/>
      <c r="T212" s="6"/>
      <c r="U212" s="6"/>
      <c r="V212" s="55"/>
      <c r="W212" s="6"/>
      <c r="X212" s="6"/>
      <c r="Y212" s="6"/>
      <c r="Z212" s="6"/>
      <c r="AA212" s="6"/>
      <c r="AB212" s="6"/>
      <c r="AC212" s="6"/>
    </row>
    <row r="213" spans="1:29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25"/>
      <c r="O213" s="6"/>
      <c r="P213" s="6"/>
      <c r="Q213" s="6"/>
      <c r="R213" s="6"/>
      <c r="S213" s="6"/>
      <c r="T213" s="6"/>
      <c r="U213" s="6"/>
      <c r="V213" s="55"/>
      <c r="W213" s="6"/>
      <c r="X213" s="6"/>
      <c r="Y213" s="6"/>
      <c r="Z213" s="6"/>
      <c r="AA213" s="6"/>
      <c r="AB213" s="6"/>
      <c r="AC213" s="6"/>
    </row>
    <row r="214" spans="1:29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25"/>
      <c r="O214" s="6"/>
      <c r="P214" s="6"/>
      <c r="Q214" s="6"/>
      <c r="R214" s="6"/>
      <c r="S214" s="6"/>
      <c r="T214" s="6"/>
      <c r="U214" s="6"/>
      <c r="V214" s="55"/>
      <c r="W214" s="6"/>
      <c r="X214" s="6"/>
      <c r="Y214" s="6"/>
      <c r="Z214" s="6"/>
      <c r="AA214" s="6"/>
      <c r="AB214" s="6"/>
      <c r="AC214" s="6"/>
    </row>
    <row r="215" spans="1:29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25"/>
      <c r="O215" s="6"/>
      <c r="P215" s="6"/>
      <c r="Q215" s="6"/>
      <c r="R215" s="6"/>
      <c r="S215" s="6"/>
      <c r="T215" s="6"/>
      <c r="U215" s="6"/>
      <c r="V215" s="55"/>
      <c r="W215" s="6"/>
      <c r="X215" s="6"/>
      <c r="Y215" s="6"/>
      <c r="Z215" s="6"/>
      <c r="AA215" s="6"/>
      <c r="AB215" s="6"/>
      <c r="AC215" s="6"/>
    </row>
    <row r="216" spans="1:29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225"/>
      <c r="O216" s="6"/>
      <c r="P216" s="6"/>
      <c r="Q216" s="6"/>
      <c r="R216" s="6"/>
      <c r="S216" s="6"/>
      <c r="T216" s="6"/>
      <c r="U216" s="6"/>
      <c r="V216" s="55"/>
      <c r="W216" s="6"/>
      <c r="X216" s="6"/>
      <c r="Y216" s="6"/>
      <c r="Z216" s="6"/>
      <c r="AA216" s="6"/>
      <c r="AB216" s="6"/>
      <c r="AC216" s="6"/>
    </row>
    <row r="217" spans="1:29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225"/>
      <c r="O217" s="6"/>
      <c r="P217" s="6"/>
      <c r="Q217" s="6"/>
      <c r="R217" s="6"/>
      <c r="S217" s="6"/>
      <c r="T217" s="6"/>
      <c r="U217" s="6"/>
      <c r="V217" s="55"/>
      <c r="W217" s="6"/>
      <c r="X217" s="6"/>
      <c r="Y217" s="6"/>
      <c r="Z217" s="6"/>
      <c r="AA217" s="6"/>
      <c r="AB217" s="6"/>
      <c r="AC217" s="6"/>
    </row>
    <row r="218" spans="1:29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225"/>
      <c r="O218" s="6"/>
      <c r="P218" s="6"/>
      <c r="Q218" s="6"/>
      <c r="R218" s="6"/>
      <c r="S218" s="6"/>
      <c r="T218" s="6"/>
      <c r="U218" s="6"/>
      <c r="V218" s="55"/>
      <c r="W218" s="6"/>
      <c r="X218" s="6"/>
      <c r="Y218" s="6"/>
      <c r="Z218" s="6"/>
      <c r="AA218" s="6"/>
      <c r="AB218" s="6"/>
      <c r="AC218" s="6"/>
    </row>
    <row r="219" spans="1:29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225"/>
      <c r="O219" s="6"/>
      <c r="P219" s="6"/>
      <c r="Q219" s="6"/>
      <c r="R219" s="6"/>
      <c r="S219" s="6"/>
      <c r="T219" s="6"/>
      <c r="U219" s="6"/>
      <c r="V219" s="55"/>
      <c r="W219" s="6"/>
      <c r="X219" s="6"/>
      <c r="Y219" s="6"/>
      <c r="Z219" s="6"/>
      <c r="AA219" s="6"/>
      <c r="AB219" s="6"/>
      <c r="AC219" s="6"/>
    </row>
    <row r="220" spans="1:29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225"/>
      <c r="O220" s="6"/>
      <c r="P220" s="6"/>
      <c r="Q220" s="6"/>
      <c r="R220" s="6"/>
      <c r="S220" s="6"/>
      <c r="T220" s="6"/>
      <c r="U220" s="6"/>
      <c r="V220" s="55"/>
      <c r="W220" s="6"/>
      <c r="X220" s="6"/>
      <c r="Y220" s="6"/>
      <c r="Z220" s="6"/>
      <c r="AA220" s="6"/>
      <c r="AB220" s="6"/>
      <c r="AC220" s="6"/>
    </row>
    <row r="221" spans="1:29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225"/>
      <c r="O221" s="6"/>
      <c r="P221" s="6"/>
      <c r="Q221" s="6"/>
      <c r="R221" s="6"/>
      <c r="S221" s="6"/>
      <c r="T221" s="6"/>
      <c r="U221" s="6"/>
      <c r="V221" s="55"/>
      <c r="W221" s="6"/>
      <c r="X221" s="6"/>
      <c r="Y221" s="6"/>
      <c r="Z221" s="6"/>
      <c r="AA221" s="6"/>
      <c r="AB221" s="6"/>
      <c r="AC221" s="6"/>
    </row>
    <row r="222" spans="1:29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225"/>
      <c r="O222" s="6"/>
      <c r="P222" s="6"/>
      <c r="Q222" s="6"/>
      <c r="R222" s="6"/>
      <c r="S222" s="6"/>
      <c r="T222" s="6"/>
      <c r="U222" s="6"/>
      <c r="V222" s="55"/>
      <c r="W222" s="6"/>
      <c r="X222" s="6"/>
      <c r="Y222" s="6"/>
      <c r="Z222" s="6"/>
      <c r="AA222" s="6"/>
      <c r="AB222" s="6"/>
      <c r="AC222" s="6"/>
    </row>
    <row r="223" spans="1:29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225"/>
      <c r="O223" s="6"/>
      <c r="P223" s="6"/>
      <c r="Q223" s="6"/>
      <c r="R223" s="6"/>
      <c r="S223" s="6"/>
      <c r="T223" s="6"/>
      <c r="U223" s="6"/>
      <c r="V223" s="55"/>
      <c r="W223" s="6"/>
      <c r="X223" s="6"/>
      <c r="Y223" s="6"/>
      <c r="Z223" s="6"/>
      <c r="AA223" s="6"/>
      <c r="AB223" s="6"/>
      <c r="AC223" s="6"/>
    </row>
    <row r="224" spans="1:29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225"/>
      <c r="O224" s="6"/>
      <c r="P224" s="6"/>
      <c r="Q224" s="6"/>
      <c r="R224" s="6"/>
      <c r="S224" s="6"/>
      <c r="T224" s="6"/>
      <c r="U224" s="6"/>
      <c r="V224" s="55"/>
      <c r="W224" s="6"/>
      <c r="X224" s="6"/>
      <c r="Y224" s="6"/>
      <c r="Z224" s="6"/>
      <c r="AA224" s="6"/>
      <c r="AB224" s="6"/>
      <c r="AC224" s="6"/>
    </row>
    <row r="225" spans="1:29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225"/>
      <c r="O225" s="6"/>
      <c r="P225" s="6"/>
      <c r="Q225" s="6"/>
      <c r="R225" s="6"/>
      <c r="S225" s="6"/>
      <c r="T225" s="6"/>
      <c r="U225" s="6"/>
      <c r="V225" s="55"/>
      <c r="W225" s="6"/>
      <c r="X225" s="6"/>
      <c r="Y225" s="6"/>
      <c r="Z225" s="6"/>
      <c r="AA225" s="6"/>
      <c r="AB225" s="6"/>
      <c r="AC225" s="6"/>
    </row>
    <row r="226" spans="1:29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225"/>
      <c r="O226" s="6"/>
      <c r="P226" s="6"/>
      <c r="Q226" s="6"/>
      <c r="R226" s="6"/>
      <c r="S226" s="6"/>
      <c r="T226" s="6"/>
      <c r="U226" s="6"/>
      <c r="V226" s="55"/>
      <c r="W226" s="6"/>
      <c r="X226" s="6"/>
      <c r="Y226" s="6"/>
      <c r="Z226" s="6"/>
      <c r="AA226" s="6"/>
      <c r="AB226" s="6"/>
      <c r="AC226" s="6"/>
    </row>
    <row r="227" spans="1:29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225"/>
      <c r="O227" s="6"/>
      <c r="P227" s="6"/>
      <c r="Q227" s="6"/>
      <c r="R227" s="6"/>
      <c r="S227" s="6"/>
      <c r="T227" s="6"/>
      <c r="U227" s="6"/>
      <c r="V227" s="55"/>
      <c r="W227" s="6"/>
      <c r="X227" s="6"/>
      <c r="Y227" s="6"/>
      <c r="Z227" s="6"/>
      <c r="AA227" s="6"/>
      <c r="AB227" s="6"/>
      <c r="AC227" s="6"/>
    </row>
    <row r="228" spans="1:29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225"/>
      <c r="O228" s="6"/>
      <c r="P228" s="6"/>
      <c r="Q228" s="6"/>
      <c r="R228" s="6"/>
      <c r="S228" s="6"/>
      <c r="T228" s="6"/>
      <c r="U228" s="6"/>
      <c r="V228" s="55"/>
      <c r="W228" s="6"/>
      <c r="X228" s="6"/>
      <c r="Y228" s="6"/>
      <c r="Z228" s="6"/>
      <c r="AA228" s="6"/>
      <c r="AB228" s="6"/>
      <c r="AC228" s="6"/>
    </row>
    <row r="229" spans="1:29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225"/>
      <c r="O229" s="6"/>
      <c r="P229" s="6"/>
      <c r="Q229" s="6"/>
      <c r="R229" s="6"/>
      <c r="S229" s="6"/>
      <c r="T229" s="6"/>
      <c r="U229" s="6"/>
      <c r="V229" s="55"/>
      <c r="W229" s="6"/>
      <c r="X229" s="6"/>
      <c r="Y229" s="6"/>
      <c r="Z229" s="6"/>
      <c r="AA229" s="6"/>
      <c r="AB229" s="6"/>
      <c r="AC229" s="6"/>
    </row>
    <row r="230" spans="1:29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225"/>
      <c r="O230" s="6"/>
      <c r="P230" s="6"/>
      <c r="Q230" s="6"/>
      <c r="R230" s="6"/>
      <c r="S230" s="6"/>
      <c r="T230" s="6"/>
      <c r="U230" s="6"/>
      <c r="V230" s="55"/>
      <c r="W230" s="6"/>
      <c r="X230" s="6"/>
      <c r="Y230" s="6"/>
      <c r="Z230" s="6"/>
      <c r="AA230" s="6"/>
      <c r="AB230" s="6"/>
      <c r="AC230" s="6"/>
    </row>
    <row r="231" spans="1:29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225"/>
      <c r="O231" s="6"/>
      <c r="P231" s="6"/>
      <c r="Q231" s="6"/>
      <c r="R231" s="6"/>
      <c r="S231" s="6"/>
      <c r="T231" s="6"/>
      <c r="U231" s="6"/>
      <c r="V231" s="55"/>
      <c r="W231" s="6"/>
      <c r="X231" s="6"/>
      <c r="Y231" s="6"/>
      <c r="Z231" s="6"/>
      <c r="AA231" s="6"/>
      <c r="AB231" s="6"/>
      <c r="AC231" s="6"/>
    </row>
    <row r="232" spans="1:29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225"/>
      <c r="O232" s="6"/>
      <c r="P232" s="6"/>
      <c r="Q232" s="6"/>
      <c r="R232" s="6"/>
      <c r="S232" s="6"/>
      <c r="T232" s="6"/>
      <c r="U232" s="6"/>
      <c r="V232" s="55"/>
      <c r="W232" s="6"/>
      <c r="X232" s="6"/>
      <c r="Y232" s="6"/>
      <c r="Z232" s="6"/>
      <c r="AA232" s="6"/>
      <c r="AB232" s="6"/>
      <c r="AC232" s="6"/>
    </row>
    <row r="233" spans="1:29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225"/>
      <c r="O233" s="6"/>
      <c r="P233" s="6"/>
      <c r="Q233" s="6"/>
      <c r="R233" s="6"/>
      <c r="S233" s="6"/>
      <c r="T233" s="6"/>
      <c r="U233" s="6"/>
      <c r="V233" s="55"/>
      <c r="W233" s="6"/>
      <c r="X233" s="6"/>
      <c r="Y233" s="6"/>
      <c r="Z233" s="6"/>
      <c r="AA233" s="6"/>
      <c r="AB233" s="6"/>
      <c r="AC233" s="6"/>
    </row>
    <row r="234" spans="1:29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225"/>
      <c r="O234" s="6"/>
      <c r="P234" s="6"/>
      <c r="Q234" s="6"/>
      <c r="R234" s="6"/>
      <c r="S234" s="6"/>
      <c r="T234" s="6"/>
      <c r="U234" s="6"/>
      <c r="V234" s="55"/>
      <c r="W234" s="6"/>
      <c r="X234" s="6"/>
      <c r="Y234" s="6"/>
      <c r="Z234" s="6"/>
      <c r="AA234" s="6"/>
      <c r="AB234" s="6"/>
      <c r="AC234" s="6"/>
    </row>
    <row r="235" spans="1:29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225"/>
      <c r="O235" s="6"/>
      <c r="P235" s="6"/>
      <c r="Q235" s="6"/>
      <c r="R235" s="6"/>
      <c r="S235" s="6"/>
      <c r="T235" s="6"/>
      <c r="U235" s="6"/>
      <c r="V235" s="55"/>
      <c r="W235" s="6"/>
      <c r="X235" s="6"/>
      <c r="Y235" s="6"/>
      <c r="Z235" s="6"/>
      <c r="AA235" s="6"/>
      <c r="AB235" s="6"/>
      <c r="AC235" s="6"/>
    </row>
    <row r="236" spans="1:29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225"/>
      <c r="O236" s="6"/>
      <c r="P236" s="6"/>
      <c r="Q236" s="6"/>
      <c r="R236" s="6"/>
      <c r="S236" s="6"/>
      <c r="T236" s="6"/>
      <c r="U236" s="6"/>
      <c r="V236" s="55"/>
      <c r="W236" s="6"/>
      <c r="X236" s="6"/>
      <c r="Y236" s="6"/>
      <c r="Z236" s="6"/>
      <c r="AA236" s="6"/>
      <c r="AB236" s="6"/>
      <c r="AC236" s="6"/>
    </row>
    <row r="237" spans="1:29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225"/>
      <c r="O237" s="6"/>
      <c r="P237" s="6"/>
      <c r="Q237" s="6"/>
      <c r="R237" s="6"/>
      <c r="S237" s="6"/>
      <c r="T237" s="6"/>
      <c r="U237" s="6"/>
      <c r="V237" s="55"/>
      <c r="W237" s="6"/>
      <c r="X237" s="6"/>
      <c r="Y237" s="6"/>
      <c r="Z237" s="6"/>
      <c r="AA237" s="6"/>
      <c r="AB237" s="6"/>
      <c r="AC237" s="6"/>
    </row>
    <row r="238" spans="1:29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225"/>
      <c r="O238" s="6"/>
      <c r="P238" s="6"/>
      <c r="Q238" s="6"/>
      <c r="R238" s="6"/>
      <c r="S238" s="6"/>
      <c r="T238" s="6"/>
      <c r="U238" s="6"/>
      <c r="V238" s="55"/>
      <c r="W238" s="6"/>
      <c r="X238" s="6"/>
      <c r="Y238" s="6"/>
      <c r="Z238" s="6"/>
      <c r="AA238" s="6"/>
      <c r="AB238" s="6"/>
      <c r="AC238" s="6"/>
    </row>
    <row r="239" spans="1:29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225"/>
      <c r="O239" s="6"/>
      <c r="P239" s="6"/>
      <c r="Q239" s="6"/>
      <c r="R239" s="6"/>
      <c r="S239" s="6"/>
      <c r="T239" s="6"/>
      <c r="U239" s="6"/>
      <c r="V239" s="55"/>
      <c r="W239" s="6"/>
      <c r="X239" s="6"/>
      <c r="Y239" s="6"/>
      <c r="Z239" s="6"/>
      <c r="AA239" s="6"/>
      <c r="AB239" s="6"/>
      <c r="AC239" s="6"/>
    </row>
    <row r="240" spans="1:29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225"/>
      <c r="O240" s="6"/>
      <c r="P240" s="6"/>
      <c r="Q240" s="6"/>
      <c r="R240" s="6"/>
      <c r="S240" s="6"/>
      <c r="T240" s="6"/>
      <c r="U240" s="6"/>
      <c r="V240" s="55"/>
      <c r="W240" s="6"/>
      <c r="X240" s="6"/>
      <c r="Y240" s="6"/>
      <c r="Z240" s="6"/>
      <c r="AA240" s="6"/>
      <c r="AB240" s="6"/>
      <c r="AC240" s="6"/>
    </row>
    <row r="241" spans="1:29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225"/>
      <c r="O241" s="6"/>
      <c r="P241" s="6"/>
      <c r="Q241" s="6"/>
      <c r="R241" s="6"/>
      <c r="S241" s="6"/>
      <c r="T241" s="6"/>
      <c r="U241" s="6"/>
      <c r="V241" s="55"/>
      <c r="W241" s="6"/>
      <c r="X241" s="6"/>
      <c r="Y241" s="6"/>
      <c r="Z241" s="6"/>
      <c r="AA241" s="6"/>
      <c r="AB241" s="6"/>
      <c r="AC241" s="6"/>
    </row>
    <row r="242" spans="1:29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225"/>
      <c r="O242" s="6"/>
      <c r="P242" s="6"/>
      <c r="Q242" s="6"/>
      <c r="R242" s="6"/>
      <c r="S242" s="6"/>
      <c r="T242" s="6"/>
      <c r="U242" s="6"/>
      <c r="V242" s="55"/>
      <c r="W242" s="6"/>
      <c r="X242" s="6"/>
      <c r="Y242" s="6"/>
      <c r="Z242" s="6"/>
      <c r="AA242" s="6"/>
      <c r="AB242" s="6"/>
      <c r="AC242" s="6"/>
    </row>
    <row r="243" spans="1:29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225"/>
      <c r="O243" s="6"/>
      <c r="P243" s="6"/>
      <c r="Q243" s="6"/>
      <c r="R243" s="6"/>
      <c r="S243" s="6"/>
      <c r="T243" s="6"/>
      <c r="U243" s="6"/>
      <c r="V243" s="55"/>
      <c r="W243" s="6"/>
      <c r="X243" s="6"/>
      <c r="Y243" s="6"/>
      <c r="Z243" s="6"/>
      <c r="AA243" s="6"/>
      <c r="AB243" s="6"/>
      <c r="AC243" s="6"/>
    </row>
    <row r="244" spans="1:29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225"/>
      <c r="O244" s="6"/>
      <c r="P244" s="6"/>
      <c r="Q244" s="6"/>
      <c r="R244" s="6"/>
      <c r="S244" s="6"/>
      <c r="T244" s="6"/>
      <c r="U244" s="6"/>
      <c r="V244" s="55"/>
      <c r="W244" s="6"/>
      <c r="X244" s="6"/>
      <c r="Y244" s="6"/>
      <c r="Z244" s="6"/>
      <c r="AA244" s="6"/>
      <c r="AB244" s="6"/>
      <c r="AC244" s="6"/>
    </row>
    <row r="245" spans="1:29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225"/>
      <c r="O245" s="6"/>
      <c r="P245" s="6"/>
      <c r="Q245" s="6"/>
      <c r="R245" s="6"/>
      <c r="S245" s="6"/>
      <c r="T245" s="6"/>
      <c r="U245" s="6"/>
      <c r="V245" s="55"/>
      <c r="W245" s="6"/>
      <c r="X245" s="6"/>
      <c r="Y245" s="6"/>
      <c r="Z245" s="6"/>
      <c r="AA245" s="6"/>
      <c r="AB245" s="6"/>
      <c r="AC245" s="6"/>
    </row>
    <row r="246" spans="1:29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225"/>
      <c r="O246" s="6"/>
      <c r="P246" s="6"/>
      <c r="Q246" s="6"/>
      <c r="R246" s="6"/>
      <c r="S246" s="6"/>
      <c r="T246" s="6"/>
      <c r="U246" s="6"/>
      <c r="V246" s="55"/>
      <c r="W246" s="6"/>
      <c r="X246" s="6"/>
      <c r="Y246" s="6"/>
      <c r="Z246" s="6"/>
      <c r="AA246" s="6"/>
      <c r="AB246" s="6"/>
      <c r="AC246" s="6"/>
    </row>
    <row r="247" spans="1:29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225"/>
      <c r="O247" s="6"/>
      <c r="P247" s="6"/>
      <c r="Q247" s="6"/>
      <c r="R247" s="6"/>
      <c r="S247" s="6"/>
      <c r="T247" s="6"/>
      <c r="U247" s="6"/>
      <c r="V247" s="55"/>
      <c r="W247" s="6"/>
      <c r="X247" s="6"/>
      <c r="Y247" s="6"/>
      <c r="Z247" s="6"/>
      <c r="AA247" s="6"/>
      <c r="AB247" s="6"/>
      <c r="AC247" s="6"/>
    </row>
    <row r="248" spans="1:29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225"/>
      <c r="O248" s="6"/>
      <c r="P248" s="6"/>
      <c r="Q248" s="6"/>
      <c r="R248" s="6"/>
      <c r="S248" s="6"/>
      <c r="T248" s="6"/>
      <c r="U248" s="6"/>
      <c r="V248" s="55"/>
      <c r="W248" s="6"/>
      <c r="X248" s="6"/>
      <c r="Y248" s="6"/>
      <c r="Z248" s="6"/>
      <c r="AA248" s="6"/>
      <c r="AB248" s="6"/>
      <c r="AC248" s="6"/>
    </row>
    <row r="249" spans="1:29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225"/>
      <c r="O249" s="6"/>
      <c r="P249" s="6"/>
      <c r="Q249" s="6"/>
      <c r="R249" s="6"/>
      <c r="S249" s="6"/>
      <c r="T249" s="6"/>
      <c r="U249" s="6"/>
      <c r="V249" s="55"/>
      <c r="W249" s="6"/>
      <c r="X249" s="6"/>
      <c r="Y249" s="6"/>
      <c r="Z249" s="6"/>
      <c r="AA249" s="6"/>
      <c r="AB249" s="6"/>
      <c r="AC249" s="6"/>
    </row>
    <row r="250" spans="1:29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225"/>
      <c r="O250" s="6"/>
      <c r="P250" s="6"/>
      <c r="Q250" s="6"/>
      <c r="R250" s="6"/>
      <c r="S250" s="6"/>
      <c r="T250" s="6"/>
      <c r="U250" s="6"/>
      <c r="V250" s="55"/>
      <c r="W250" s="6"/>
      <c r="X250" s="6"/>
      <c r="Y250" s="6"/>
      <c r="Z250" s="6"/>
      <c r="AA250" s="6"/>
      <c r="AB250" s="6"/>
      <c r="AC250" s="6"/>
    </row>
    <row r="251" spans="1:29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225"/>
      <c r="O251" s="6"/>
      <c r="P251" s="6"/>
      <c r="Q251" s="6"/>
      <c r="R251" s="6"/>
      <c r="S251" s="6"/>
      <c r="T251" s="6"/>
      <c r="U251" s="6"/>
      <c r="V251" s="55"/>
      <c r="W251" s="6"/>
      <c r="X251" s="6"/>
      <c r="Y251" s="6"/>
      <c r="Z251" s="6"/>
      <c r="AA251" s="6"/>
      <c r="AB251" s="6"/>
      <c r="AC251" s="6"/>
    </row>
    <row r="252" spans="1:29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225"/>
      <c r="O252" s="6"/>
      <c r="P252" s="6"/>
      <c r="Q252" s="6"/>
      <c r="R252" s="6"/>
      <c r="S252" s="6"/>
      <c r="T252" s="6"/>
      <c r="U252" s="6"/>
      <c r="V252" s="55"/>
      <c r="W252" s="6"/>
      <c r="X252" s="6"/>
      <c r="Y252" s="6"/>
      <c r="Z252" s="6"/>
      <c r="AA252" s="6"/>
      <c r="AB252" s="6"/>
      <c r="AC252" s="6"/>
    </row>
    <row r="253" spans="1:29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225"/>
      <c r="O253" s="6"/>
      <c r="P253" s="6"/>
      <c r="Q253" s="6"/>
      <c r="R253" s="6"/>
      <c r="S253" s="6"/>
      <c r="T253" s="6"/>
      <c r="U253" s="6"/>
      <c r="V253" s="55"/>
      <c r="W253" s="6"/>
      <c r="X253" s="6"/>
      <c r="Y253" s="6"/>
      <c r="Z253" s="6"/>
      <c r="AA253" s="6"/>
      <c r="AB253" s="6"/>
      <c r="AC253" s="6"/>
    </row>
    <row r="254" spans="1:29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225"/>
      <c r="O254" s="6"/>
      <c r="P254" s="6"/>
      <c r="Q254" s="6"/>
      <c r="R254" s="6"/>
      <c r="S254" s="6"/>
      <c r="T254" s="6"/>
      <c r="U254" s="6"/>
      <c r="V254" s="55"/>
      <c r="W254" s="6"/>
      <c r="X254" s="6"/>
      <c r="Y254" s="6"/>
      <c r="Z254" s="6"/>
      <c r="AA254" s="6"/>
      <c r="AB254" s="6"/>
      <c r="AC254" s="6"/>
    </row>
    <row r="255" spans="1:29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225"/>
      <c r="O255" s="6"/>
      <c r="P255" s="6"/>
      <c r="Q255" s="6"/>
      <c r="R255" s="6"/>
      <c r="S255" s="6"/>
      <c r="T255" s="6"/>
      <c r="U255" s="6"/>
      <c r="V255" s="55"/>
      <c r="W255" s="6"/>
      <c r="X255" s="6"/>
      <c r="Y255" s="6"/>
      <c r="Z255" s="6"/>
      <c r="AA255" s="6"/>
      <c r="AB255" s="6"/>
      <c r="AC255" s="6"/>
    </row>
    <row r="256" spans="1:29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225"/>
      <c r="O256" s="6"/>
      <c r="P256" s="6"/>
      <c r="Q256" s="6"/>
      <c r="R256" s="6"/>
      <c r="S256" s="6"/>
      <c r="T256" s="6"/>
      <c r="U256" s="6"/>
      <c r="V256" s="55"/>
      <c r="W256" s="6"/>
      <c r="X256" s="6"/>
      <c r="Y256" s="6"/>
      <c r="Z256" s="6"/>
      <c r="AA256" s="6"/>
      <c r="AB256" s="6"/>
      <c r="AC256" s="6"/>
    </row>
    <row r="257" spans="1:29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225"/>
      <c r="O257" s="6"/>
      <c r="P257" s="6"/>
      <c r="Q257" s="6"/>
      <c r="R257" s="6"/>
      <c r="S257" s="6"/>
      <c r="T257" s="6"/>
      <c r="U257" s="6"/>
      <c r="V257" s="55"/>
      <c r="W257" s="6"/>
      <c r="X257" s="6"/>
      <c r="Y257" s="6"/>
      <c r="Z257" s="6"/>
      <c r="AA257" s="6"/>
      <c r="AB257" s="6"/>
      <c r="AC257" s="6"/>
    </row>
    <row r="258" spans="1:29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225"/>
      <c r="O258" s="6"/>
      <c r="P258" s="6"/>
      <c r="Q258" s="6"/>
      <c r="R258" s="6"/>
      <c r="S258" s="6"/>
      <c r="T258" s="6"/>
      <c r="U258" s="6"/>
      <c r="V258" s="55"/>
      <c r="W258" s="6"/>
      <c r="X258" s="6"/>
      <c r="Y258" s="6"/>
      <c r="Z258" s="6"/>
      <c r="AA258" s="6"/>
      <c r="AB258" s="6"/>
      <c r="AC258" s="6"/>
    </row>
    <row r="259" spans="1:29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225"/>
      <c r="O259" s="6"/>
      <c r="P259" s="6"/>
      <c r="Q259" s="6"/>
      <c r="R259" s="6"/>
      <c r="S259" s="6"/>
      <c r="T259" s="6"/>
      <c r="U259" s="6"/>
      <c r="V259" s="55"/>
      <c r="W259" s="6"/>
      <c r="X259" s="6"/>
      <c r="Y259" s="6"/>
      <c r="Z259" s="6"/>
      <c r="AA259" s="6"/>
      <c r="AB259" s="6"/>
      <c r="AC259" s="6"/>
    </row>
    <row r="260" spans="1:29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225"/>
      <c r="O260" s="6"/>
      <c r="P260" s="6"/>
      <c r="Q260" s="6"/>
      <c r="R260" s="6"/>
      <c r="S260" s="6"/>
      <c r="T260" s="6"/>
      <c r="U260" s="6"/>
      <c r="V260" s="55"/>
      <c r="W260" s="6"/>
      <c r="X260" s="6"/>
      <c r="Y260" s="6"/>
      <c r="Z260" s="6"/>
      <c r="AA260" s="6"/>
      <c r="AB260" s="6"/>
      <c r="AC260" s="6"/>
    </row>
    <row r="261" spans="1:29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225"/>
      <c r="O261" s="6"/>
      <c r="P261" s="6"/>
      <c r="Q261" s="6"/>
      <c r="R261" s="6"/>
      <c r="S261" s="6"/>
      <c r="T261" s="6"/>
      <c r="U261" s="6"/>
      <c r="V261" s="55"/>
      <c r="W261" s="6"/>
      <c r="X261" s="6"/>
      <c r="Y261" s="6"/>
      <c r="Z261" s="6"/>
      <c r="AA261" s="6"/>
      <c r="AB261" s="6"/>
      <c r="AC261" s="6"/>
    </row>
    <row r="262" spans="1:29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225"/>
      <c r="O262" s="6"/>
      <c r="P262" s="6"/>
      <c r="Q262" s="6"/>
      <c r="R262" s="6"/>
      <c r="S262" s="6"/>
      <c r="T262" s="6"/>
      <c r="U262" s="6"/>
      <c r="V262" s="55"/>
      <c r="W262" s="6"/>
      <c r="X262" s="6"/>
      <c r="Y262" s="6"/>
      <c r="Z262" s="6"/>
      <c r="AA262" s="6"/>
      <c r="AB262" s="6"/>
      <c r="AC262" s="6"/>
    </row>
    <row r="263" spans="1:29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225"/>
      <c r="O263" s="6"/>
      <c r="P263" s="6"/>
      <c r="Q263" s="6"/>
      <c r="R263" s="6"/>
      <c r="S263" s="6"/>
      <c r="T263" s="6"/>
      <c r="U263" s="6"/>
      <c r="V263" s="55"/>
      <c r="W263" s="6"/>
      <c r="X263" s="6"/>
      <c r="Y263" s="6"/>
      <c r="Z263" s="6"/>
      <c r="AA263" s="6"/>
      <c r="AB263" s="6"/>
      <c r="AC263" s="6"/>
    </row>
    <row r="264" spans="1:29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225"/>
      <c r="O264" s="6"/>
      <c r="P264" s="6"/>
      <c r="Q264" s="6"/>
      <c r="R264" s="6"/>
      <c r="S264" s="6"/>
      <c r="T264" s="6"/>
      <c r="U264" s="6"/>
      <c r="V264" s="55"/>
      <c r="W264" s="6"/>
      <c r="X264" s="6"/>
      <c r="Y264" s="6"/>
      <c r="Z264" s="6"/>
      <c r="AA264" s="6"/>
      <c r="AB264" s="6"/>
      <c r="AC264" s="6"/>
    </row>
    <row r="265" spans="1:29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225"/>
      <c r="O265" s="6"/>
      <c r="P265" s="6"/>
      <c r="Q265" s="6"/>
      <c r="R265" s="6"/>
      <c r="S265" s="6"/>
      <c r="T265" s="6"/>
      <c r="U265" s="6"/>
      <c r="V265" s="55"/>
      <c r="W265" s="6"/>
      <c r="X265" s="6"/>
      <c r="Y265" s="6"/>
      <c r="Z265" s="6"/>
      <c r="AA265" s="6"/>
      <c r="AB265" s="6"/>
      <c r="AC265" s="6"/>
    </row>
    <row r="266" spans="1:29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225"/>
      <c r="O266" s="6"/>
      <c r="P266" s="6"/>
      <c r="Q266" s="6"/>
      <c r="R266" s="6"/>
      <c r="S266" s="6"/>
      <c r="T266" s="6"/>
      <c r="U266" s="6"/>
      <c r="V266" s="55"/>
      <c r="W266" s="6"/>
      <c r="X266" s="6"/>
      <c r="Y266" s="6"/>
      <c r="Z266" s="6"/>
      <c r="AA266" s="6"/>
      <c r="AB266" s="6"/>
      <c r="AC266" s="6"/>
    </row>
    <row r="267" spans="1:29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225"/>
      <c r="O267" s="6"/>
      <c r="P267" s="6"/>
      <c r="Q267" s="6"/>
      <c r="R267" s="6"/>
      <c r="S267" s="6"/>
      <c r="T267" s="6"/>
      <c r="U267" s="6"/>
      <c r="V267" s="55"/>
      <c r="W267" s="6"/>
      <c r="X267" s="6"/>
      <c r="Y267" s="6"/>
      <c r="Z267" s="6"/>
      <c r="AA267" s="6"/>
      <c r="AB267" s="6"/>
      <c r="AC267" s="6"/>
    </row>
    <row r="268" spans="1:29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225"/>
      <c r="O268" s="6"/>
      <c r="P268" s="6"/>
      <c r="Q268" s="6"/>
      <c r="R268" s="6"/>
      <c r="S268" s="6"/>
      <c r="T268" s="6"/>
      <c r="U268" s="6"/>
      <c r="V268" s="55"/>
      <c r="W268" s="6"/>
      <c r="X268" s="6"/>
      <c r="Y268" s="6"/>
      <c r="Z268" s="6"/>
      <c r="AA268" s="6"/>
      <c r="AB268" s="6"/>
      <c r="AC268" s="6"/>
    </row>
    <row r="269" spans="1:29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225"/>
      <c r="O269" s="6"/>
      <c r="P269" s="6"/>
      <c r="Q269" s="6"/>
      <c r="R269" s="6"/>
      <c r="S269" s="6"/>
      <c r="T269" s="6"/>
      <c r="U269" s="6"/>
      <c r="V269" s="55"/>
      <c r="W269" s="6"/>
      <c r="X269" s="6"/>
      <c r="Y269" s="6"/>
      <c r="Z269" s="6"/>
      <c r="AA269" s="6"/>
      <c r="AB269" s="6"/>
      <c r="AC269" s="6"/>
    </row>
    <row r="270" spans="1:29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225"/>
      <c r="O270" s="6"/>
      <c r="P270" s="6"/>
      <c r="Q270" s="6"/>
      <c r="R270" s="6"/>
      <c r="S270" s="6"/>
      <c r="T270" s="6"/>
      <c r="U270" s="6"/>
      <c r="V270" s="55"/>
      <c r="W270" s="6"/>
      <c r="X270" s="6"/>
      <c r="Y270" s="6"/>
      <c r="Z270" s="6"/>
      <c r="AA270" s="6"/>
      <c r="AB270" s="6"/>
      <c r="AC270" s="6"/>
    </row>
    <row r="271" spans="1:29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225"/>
      <c r="O271" s="6"/>
      <c r="P271" s="6"/>
      <c r="Q271" s="6"/>
      <c r="R271" s="6"/>
      <c r="S271" s="6"/>
      <c r="T271" s="6"/>
      <c r="U271" s="6"/>
      <c r="V271" s="55"/>
      <c r="W271" s="6"/>
      <c r="X271" s="6"/>
      <c r="Y271" s="6"/>
      <c r="Z271" s="6"/>
      <c r="AA271" s="6"/>
      <c r="AB271" s="6"/>
      <c r="AC271" s="6"/>
    </row>
    <row r="272" spans="1:29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225"/>
      <c r="O272" s="6"/>
      <c r="P272" s="6"/>
      <c r="Q272" s="6"/>
      <c r="R272" s="6"/>
      <c r="S272" s="6"/>
      <c r="T272" s="6"/>
      <c r="U272" s="6"/>
      <c r="V272" s="55"/>
      <c r="W272" s="6"/>
      <c r="X272" s="6"/>
      <c r="Y272" s="6"/>
      <c r="Z272" s="6"/>
      <c r="AA272" s="6"/>
      <c r="AB272" s="6"/>
      <c r="AC272" s="6"/>
    </row>
    <row r="273" spans="1:29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225"/>
      <c r="O273" s="6"/>
      <c r="P273" s="6"/>
      <c r="Q273" s="6"/>
      <c r="R273" s="6"/>
      <c r="S273" s="6"/>
      <c r="T273" s="6"/>
      <c r="U273" s="6"/>
      <c r="V273" s="55"/>
      <c r="W273" s="6"/>
      <c r="X273" s="6"/>
      <c r="Y273" s="6"/>
      <c r="Z273" s="6"/>
      <c r="AA273" s="6"/>
      <c r="AB273" s="6"/>
      <c r="AC273" s="6"/>
    </row>
    <row r="274" spans="1:29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225"/>
      <c r="O274" s="6"/>
      <c r="P274" s="6"/>
      <c r="Q274" s="6"/>
      <c r="R274" s="6"/>
      <c r="S274" s="6"/>
      <c r="T274" s="6"/>
      <c r="U274" s="6"/>
      <c r="V274" s="55"/>
      <c r="W274" s="6"/>
      <c r="X274" s="6"/>
      <c r="Y274" s="6"/>
      <c r="Z274" s="6"/>
      <c r="AA274" s="6"/>
      <c r="AB274" s="6"/>
      <c r="AC274" s="6"/>
    </row>
    <row r="275" spans="1:29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225"/>
      <c r="O275" s="6"/>
      <c r="P275" s="6"/>
      <c r="Q275" s="6"/>
      <c r="R275" s="6"/>
      <c r="S275" s="6"/>
      <c r="T275" s="6"/>
      <c r="U275" s="6"/>
      <c r="V275" s="55"/>
      <c r="W275" s="6"/>
      <c r="X275" s="6"/>
      <c r="Y275" s="6"/>
      <c r="Z275" s="6"/>
      <c r="AA275" s="6"/>
      <c r="AB275" s="6"/>
      <c r="AC275" s="6"/>
    </row>
    <row r="276" spans="1:29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225"/>
      <c r="O276" s="6"/>
      <c r="P276" s="6"/>
      <c r="Q276" s="6"/>
      <c r="R276" s="6"/>
      <c r="S276" s="6"/>
      <c r="T276" s="6"/>
      <c r="U276" s="6"/>
      <c r="V276" s="55"/>
      <c r="W276" s="6"/>
      <c r="X276" s="6"/>
      <c r="Y276" s="6"/>
      <c r="Z276" s="6"/>
      <c r="AA276" s="6"/>
      <c r="AB276" s="6"/>
      <c r="AC276" s="6"/>
    </row>
    <row r="277" spans="1:29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225"/>
      <c r="O277" s="6"/>
      <c r="P277" s="6"/>
      <c r="Q277" s="6"/>
      <c r="R277" s="6"/>
      <c r="S277" s="6"/>
      <c r="T277" s="6"/>
      <c r="U277" s="6"/>
      <c r="V277" s="55"/>
      <c r="W277" s="6"/>
      <c r="X277" s="6"/>
      <c r="Y277" s="6"/>
      <c r="Z277" s="6"/>
      <c r="AA277" s="6"/>
      <c r="AB277" s="6"/>
      <c r="AC277" s="6"/>
    </row>
    <row r="278" spans="1:29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225"/>
      <c r="O278" s="6"/>
      <c r="P278" s="6"/>
      <c r="Q278" s="6"/>
      <c r="R278" s="6"/>
      <c r="S278" s="6"/>
      <c r="T278" s="6"/>
      <c r="U278" s="6"/>
      <c r="V278" s="55"/>
      <c r="W278" s="6"/>
      <c r="X278" s="6"/>
      <c r="Y278" s="6"/>
      <c r="Z278" s="6"/>
      <c r="AA278" s="6"/>
      <c r="AB278" s="6"/>
      <c r="AC278" s="6"/>
    </row>
    <row r="279" spans="1:29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225"/>
      <c r="O279" s="6"/>
      <c r="P279" s="6"/>
      <c r="Q279" s="6"/>
      <c r="R279" s="6"/>
      <c r="S279" s="6"/>
      <c r="T279" s="6"/>
      <c r="U279" s="6"/>
      <c r="V279" s="55"/>
      <c r="W279" s="6"/>
      <c r="X279" s="6"/>
      <c r="Y279" s="6"/>
      <c r="Z279" s="6"/>
      <c r="AA279" s="6"/>
      <c r="AB279" s="6"/>
      <c r="AC279" s="6"/>
    </row>
    <row r="280" spans="1:29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225"/>
      <c r="O280" s="6"/>
      <c r="P280" s="6"/>
      <c r="Q280" s="6"/>
      <c r="R280" s="6"/>
      <c r="S280" s="6"/>
      <c r="T280" s="6"/>
      <c r="U280" s="6"/>
      <c r="V280" s="55"/>
      <c r="W280" s="6"/>
      <c r="X280" s="6"/>
      <c r="Y280" s="6"/>
      <c r="Z280" s="6"/>
      <c r="AA280" s="6"/>
      <c r="AB280" s="6"/>
      <c r="AC280" s="6"/>
    </row>
    <row r="281" spans="1:29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225"/>
      <c r="O281" s="6"/>
      <c r="P281" s="6"/>
      <c r="Q281" s="6"/>
      <c r="R281" s="6"/>
      <c r="S281" s="6"/>
      <c r="T281" s="6"/>
      <c r="U281" s="6"/>
      <c r="V281" s="55"/>
      <c r="W281" s="6"/>
      <c r="X281" s="6"/>
      <c r="Y281" s="6"/>
      <c r="Z281" s="6"/>
      <c r="AA281" s="6"/>
      <c r="AB281" s="6"/>
      <c r="AC281" s="6"/>
    </row>
    <row r="282" spans="1:29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225"/>
      <c r="O282" s="6"/>
      <c r="P282" s="6"/>
      <c r="Q282" s="6"/>
      <c r="R282" s="6"/>
      <c r="S282" s="6"/>
      <c r="T282" s="6"/>
      <c r="U282" s="6"/>
      <c r="V282" s="55"/>
      <c r="W282" s="6"/>
      <c r="X282" s="6"/>
      <c r="Y282" s="6"/>
      <c r="Z282" s="6"/>
      <c r="AA282" s="6"/>
      <c r="AB282" s="6"/>
      <c r="AC282" s="6"/>
    </row>
    <row r="283" spans="1:29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225"/>
      <c r="O283" s="6"/>
      <c r="P283" s="6"/>
      <c r="Q283" s="6"/>
      <c r="R283" s="6"/>
      <c r="S283" s="6"/>
      <c r="T283" s="6"/>
      <c r="U283" s="6"/>
      <c r="V283" s="55"/>
      <c r="W283" s="6"/>
      <c r="X283" s="6"/>
      <c r="Y283" s="6"/>
      <c r="Z283" s="6"/>
      <c r="AA283" s="6"/>
      <c r="AB283" s="6"/>
      <c r="AC283" s="6"/>
    </row>
    <row r="284" spans="1:29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225"/>
      <c r="O284" s="6"/>
      <c r="P284" s="6"/>
      <c r="Q284" s="6"/>
      <c r="R284" s="6"/>
      <c r="S284" s="6"/>
      <c r="T284" s="6"/>
      <c r="U284" s="6"/>
      <c r="V284" s="55"/>
      <c r="W284" s="6"/>
      <c r="X284" s="6"/>
      <c r="Y284" s="6"/>
      <c r="Z284" s="6"/>
      <c r="AA284" s="6"/>
      <c r="AB284" s="6"/>
      <c r="AC284" s="6"/>
    </row>
    <row r="285" spans="1:29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225"/>
      <c r="O285" s="6"/>
      <c r="P285" s="6"/>
      <c r="Q285" s="6"/>
      <c r="R285" s="6"/>
      <c r="S285" s="6"/>
      <c r="T285" s="6"/>
      <c r="U285" s="6"/>
      <c r="V285" s="55"/>
      <c r="W285" s="6"/>
      <c r="X285" s="6"/>
      <c r="Y285" s="6"/>
      <c r="Z285" s="6"/>
      <c r="AA285" s="6"/>
      <c r="AB285" s="6"/>
      <c r="AC285" s="6"/>
    </row>
    <row r="286" spans="1:29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225"/>
      <c r="O286" s="6"/>
      <c r="P286" s="6"/>
      <c r="Q286" s="6"/>
      <c r="R286" s="6"/>
      <c r="S286" s="6"/>
      <c r="T286" s="6"/>
      <c r="U286" s="6"/>
      <c r="V286" s="55"/>
      <c r="W286" s="6"/>
      <c r="X286" s="6"/>
      <c r="Y286" s="6"/>
      <c r="Z286" s="6"/>
      <c r="AA286" s="6"/>
      <c r="AB286" s="6"/>
      <c r="AC286" s="6"/>
    </row>
    <row r="287" spans="1:29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225"/>
      <c r="O287" s="6"/>
      <c r="P287" s="6"/>
      <c r="Q287" s="6"/>
      <c r="R287" s="6"/>
      <c r="S287" s="6"/>
      <c r="T287" s="6"/>
      <c r="U287" s="6"/>
      <c r="V287" s="55"/>
      <c r="W287" s="6"/>
      <c r="X287" s="6"/>
      <c r="Y287" s="6"/>
      <c r="Z287" s="6"/>
      <c r="AA287" s="6"/>
      <c r="AB287" s="6"/>
      <c r="AC287" s="6"/>
    </row>
    <row r="288" spans="1:29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225"/>
      <c r="O288" s="6"/>
      <c r="P288" s="6"/>
      <c r="Q288" s="6"/>
      <c r="R288" s="6"/>
      <c r="S288" s="6"/>
      <c r="T288" s="6"/>
      <c r="U288" s="6"/>
      <c r="V288" s="55"/>
      <c r="W288" s="6"/>
      <c r="X288" s="6"/>
      <c r="Y288" s="6"/>
      <c r="Z288" s="6"/>
      <c r="AA288" s="6"/>
      <c r="AB288" s="6"/>
      <c r="AC288" s="6"/>
    </row>
    <row r="289" spans="1:29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225"/>
      <c r="O289" s="6"/>
      <c r="P289" s="6"/>
      <c r="Q289" s="6"/>
      <c r="R289" s="6"/>
      <c r="S289" s="6"/>
      <c r="T289" s="6"/>
      <c r="U289" s="6"/>
      <c r="V289" s="55"/>
      <c r="W289" s="6"/>
      <c r="X289" s="6"/>
      <c r="Y289" s="6"/>
      <c r="Z289" s="6"/>
      <c r="AA289" s="6"/>
      <c r="AB289" s="6"/>
      <c r="AC289" s="6"/>
    </row>
    <row r="290" spans="1:29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225"/>
      <c r="O290" s="6"/>
      <c r="P290" s="6"/>
      <c r="Q290" s="6"/>
      <c r="R290" s="6"/>
      <c r="S290" s="6"/>
      <c r="T290" s="6"/>
      <c r="U290" s="6"/>
      <c r="V290" s="55"/>
      <c r="W290" s="6"/>
      <c r="X290" s="6"/>
      <c r="Y290" s="6"/>
      <c r="Z290" s="6"/>
      <c r="AA290" s="6"/>
      <c r="AB290" s="6"/>
      <c r="AC290" s="6"/>
    </row>
    <row r="291" spans="1:29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225"/>
      <c r="O291" s="6"/>
      <c r="P291" s="6"/>
      <c r="Q291" s="6"/>
      <c r="R291" s="6"/>
      <c r="S291" s="6"/>
      <c r="T291" s="6"/>
      <c r="U291" s="6"/>
      <c r="V291" s="55"/>
      <c r="W291" s="6"/>
      <c r="X291" s="6"/>
      <c r="Y291" s="6"/>
      <c r="Z291" s="6"/>
      <c r="AA291" s="6"/>
      <c r="AB291" s="6"/>
      <c r="AC291" s="6"/>
    </row>
    <row r="292" spans="1:29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225"/>
      <c r="O292" s="6"/>
      <c r="P292" s="6"/>
      <c r="Q292" s="6"/>
      <c r="R292" s="6"/>
      <c r="S292" s="6"/>
      <c r="T292" s="6"/>
      <c r="U292" s="6"/>
      <c r="V292" s="55"/>
      <c r="W292" s="6"/>
      <c r="X292" s="6"/>
      <c r="Y292" s="6"/>
      <c r="Z292" s="6"/>
      <c r="AA292" s="6"/>
      <c r="AB292" s="6"/>
      <c r="AC292" s="6"/>
    </row>
    <row r="293" spans="1:29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225"/>
      <c r="O293" s="6"/>
      <c r="P293" s="6"/>
      <c r="Q293" s="6"/>
      <c r="R293" s="6"/>
      <c r="S293" s="6"/>
      <c r="T293" s="6"/>
      <c r="U293" s="6"/>
      <c r="V293" s="55"/>
      <c r="W293" s="6"/>
      <c r="X293" s="6"/>
      <c r="Y293" s="6"/>
      <c r="Z293" s="6"/>
      <c r="AA293" s="6"/>
      <c r="AB293" s="6"/>
      <c r="AC293" s="6"/>
    </row>
    <row r="294" spans="1:29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225"/>
      <c r="O294" s="6"/>
      <c r="P294" s="6"/>
      <c r="Q294" s="6"/>
      <c r="R294" s="6"/>
      <c r="S294" s="6"/>
      <c r="T294" s="6"/>
      <c r="U294" s="6"/>
      <c r="V294" s="55"/>
      <c r="W294" s="6"/>
      <c r="X294" s="6"/>
      <c r="Y294" s="6"/>
      <c r="Z294" s="6"/>
      <c r="AA294" s="6"/>
      <c r="AB294" s="6"/>
      <c r="AC294" s="6"/>
    </row>
    <row r="295" spans="1:29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225"/>
      <c r="O295" s="6"/>
      <c r="P295" s="6"/>
      <c r="Q295" s="6"/>
      <c r="R295" s="6"/>
      <c r="S295" s="6"/>
      <c r="T295" s="6"/>
      <c r="U295" s="6"/>
      <c r="V295" s="55"/>
      <c r="W295" s="6"/>
      <c r="X295" s="6"/>
      <c r="Y295" s="6"/>
      <c r="Z295" s="6"/>
      <c r="AA295" s="6"/>
      <c r="AB295" s="6"/>
      <c r="AC295" s="6"/>
    </row>
    <row r="296" spans="1:29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225"/>
      <c r="O296" s="6"/>
      <c r="P296" s="6"/>
      <c r="Q296" s="6"/>
      <c r="R296" s="6"/>
      <c r="S296" s="6"/>
      <c r="T296" s="6"/>
      <c r="U296" s="6"/>
      <c r="V296" s="55"/>
      <c r="W296" s="6"/>
      <c r="X296" s="6"/>
      <c r="Y296" s="6"/>
      <c r="Z296" s="6"/>
      <c r="AA296" s="6"/>
      <c r="AB296" s="6"/>
      <c r="AC296" s="6"/>
    </row>
    <row r="297" spans="1:29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225"/>
      <c r="O297" s="6"/>
      <c r="P297" s="6"/>
      <c r="Q297" s="6"/>
      <c r="R297" s="6"/>
      <c r="S297" s="6"/>
      <c r="T297" s="6"/>
      <c r="U297" s="6"/>
      <c r="V297" s="55"/>
      <c r="W297" s="6"/>
      <c r="X297" s="6"/>
      <c r="Y297" s="6"/>
      <c r="Z297" s="6"/>
      <c r="AA297" s="6"/>
      <c r="AB297" s="6"/>
      <c r="AC297" s="6"/>
    </row>
    <row r="298" spans="1:29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225"/>
      <c r="O298" s="6"/>
      <c r="P298" s="6"/>
      <c r="Q298" s="6"/>
      <c r="R298" s="6"/>
      <c r="S298" s="6"/>
      <c r="T298" s="6"/>
      <c r="U298" s="6"/>
      <c r="V298" s="55"/>
      <c r="W298" s="6"/>
      <c r="X298" s="6"/>
      <c r="Y298" s="6"/>
      <c r="Z298" s="6"/>
      <c r="AA298" s="6"/>
      <c r="AB298" s="6"/>
      <c r="AC298" s="6"/>
    </row>
    <row r="299" spans="1:29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225"/>
      <c r="O299" s="6"/>
      <c r="P299" s="6"/>
      <c r="Q299" s="6"/>
      <c r="R299" s="6"/>
      <c r="S299" s="6"/>
      <c r="T299" s="6"/>
      <c r="U299" s="6"/>
      <c r="V299" s="55"/>
      <c r="W299" s="6"/>
      <c r="X299" s="6"/>
      <c r="Y299" s="6"/>
      <c r="Z299" s="6"/>
      <c r="AA299" s="6"/>
      <c r="AB299" s="6"/>
      <c r="AC299" s="6"/>
    </row>
    <row r="300" spans="1:29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225"/>
      <c r="O300" s="6"/>
      <c r="P300" s="6"/>
      <c r="Q300" s="6"/>
      <c r="R300" s="6"/>
      <c r="S300" s="6"/>
      <c r="T300" s="6"/>
      <c r="U300" s="6"/>
      <c r="V300" s="55"/>
      <c r="W300" s="6"/>
      <c r="X300" s="6"/>
      <c r="Y300" s="6"/>
      <c r="Z300" s="6"/>
      <c r="AA300" s="6"/>
      <c r="AB300" s="6"/>
      <c r="AC300" s="6"/>
    </row>
    <row r="301" spans="1:29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225"/>
      <c r="O301" s="6"/>
      <c r="P301" s="6"/>
      <c r="Q301" s="6"/>
      <c r="R301" s="6"/>
      <c r="S301" s="6"/>
      <c r="T301" s="6"/>
      <c r="U301" s="6"/>
      <c r="V301" s="55"/>
      <c r="W301" s="6"/>
      <c r="X301" s="6"/>
      <c r="Y301" s="6"/>
      <c r="Z301" s="6"/>
      <c r="AA301" s="6"/>
      <c r="AB301" s="6"/>
      <c r="AC301" s="6"/>
    </row>
    <row r="302" spans="1:29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225"/>
      <c r="O302" s="6"/>
      <c r="P302" s="6"/>
      <c r="Q302" s="6"/>
      <c r="R302" s="6"/>
      <c r="S302" s="6"/>
      <c r="T302" s="6"/>
      <c r="U302" s="6"/>
      <c r="V302" s="55"/>
      <c r="W302" s="6"/>
      <c r="X302" s="6"/>
      <c r="Y302" s="6"/>
      <c r="Z302" s="6"/>
      <c r="AA302" s="6"/>
      <c r="AB302" s="6"/>
      <c r="AC302" s="6"/>
    </row>
    <row r="303" spans="1:29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225"/>
      <c r="O303" s="6"/>
      <c r="P303" s="6"/>
      <c r="Q303" s="6"/>
      <c r="R303" s="6"/>
      <c r="S303" s="6"/>
      <c r="T303" s="6"/>
      <c r="U303" s="6"/>
      <c r="V303" s="55"/>
      <c r="W303" s="6"/>
      <c r="X303" s="6"/>
      <c r="Y303" s="6"/>
      <c r="Z303" s="6"/>
      <c r="AA303" s="6"/>
      <c r="AB303" s="6"/>
      <c r="AC303" s="6"/>
    </row>
    <row r="304" spans="1:29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225"/>
      <c r="O304" s="6"/>
      <c r="P304" s="6"/>
      <c r="Q304" s="6"/>
      <c r="R304" s="6"/>
      <c r="S304" s="6"/>
      <c r="T304" s="6"/>
      <c r="U304" s="6"/>
      <c r="V304" s="55"/>
      <c r="W304" s="6"/>
      <c r="X304" s="6"/>
      <c r="Y304" s="6"/>
      <c r="Z304" s="6"/>
      <c r="AA304" s="6"/>
      <c r="AB304" s="6"/>
      <c r="AC304" s="6"/>
    </row>
    <row r="305" spans="1:29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225"/>
      <c r="O305" s="6"/>
      <c r="P305" s="6"/>
      <c r="Q305" s="6"/>
      <c r="R305" s="6"/>
      <c r="S305" s="6"/>
      <c r="T305" s="6"/>
      <c r="U305" s="6"/>
      <c r="V305" s="55"/>
      <c r="W305" s="6"/>
      <c r="X305" s="6"/>
      <c r="Y305" s="6"/>
      <c r="Z305" s="6"/>
      <c r="AA305" s="6"/>
      <c r="AB305" s="6"/>
      <c r="AC305" s="6"/>
    </row>
    <row r="306" spans="1:29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225"/>
      <c r="O306" s="6"/>
      <c r="P306" s="6"/>
      <c r="Q306" s="6"/>
      <c r="R306" s="6"/>
      <c r="S306" s="6"/>
      <c r="T306" s="6"/>
      <c r="U306" s="6"/>
      <c r="V306" s="55"/>
      <c r="W306" s="6"/>
      <c r="X306" s="6"/>
      <c r="Y306" s="6"/>
      <c r="Z306" s="6"/>
      <c r="AA306" s="6"/>
      <c r="AB306" s="6"/>
      <c r="AC306" s="6"/>
    </row>
    <row r="307" spans="1:29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225"/>
      <c r="O307" s="6"/>
      <c r="P307" s="6"/>
      <c r="Q307" s="6"/>
      <c r="R307" s="6"/>
      <c r="S307" s="6"/>
      <c r="T307" s="6"/>
      <c r="U307" s="6"/>
      <c r="V307" s="55"/>
      <c r="W307" s="6"/>
      <c r="X307" s="6"/>
      <c r="Y307" s="6"/>
      <c r="Z307" s="6"/>
      <c r="AA307" s="6"/>
      <c r="AB307" s="6"/>
      <c r="AC307" s="6"/>
    </row>
    <row r="308" spans="1:29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225"/>
      <c r="O308" s="6"/>
      <c r="P308" s="6"/>
      <c r="Q308" s="6"/>
      <c r="R308" s="6"/>
      <c r="S308" s="6"/>
      <c r="T308" s="6"/>
      <c r="U308" s="6"/>
      <c r="V308" s="55"/>
      <c r="W308" s="6"/>
      <c r="X308" s="6"/>
      <c r="Y308" s="6"/>
      <c r="Z308" s="6"/>
      <c r="AA308" s="6"/>
      <c r="AB308" s="6"/>
      <c r="AC308" s="6"/>
    </row>
    <row r="309" spans="1:29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225"/>
      <c r="O309" s="6"/>
      <c r="P309" s="6"/>
      <c r="Q309" s="6"/>
      <c r="R309" s="6"/>
      <c r="S309" s="6"/>
      <c r="T309" s="6"/>
      <c r="U309" s="6"/>
      <c r="V309" s="55"/>
      <c r="W309" s="6"/>
      <c r="X309" s="6"/>
      <c r="Y309" s="6"/>
      <c r="Z309" s="6"/>
      <c r="AA309" s="6"/>
      <c r="AB309" s="6"/>
      <c r="AC309" s="6"/>
    </row>
    <row r="310" spans="1:29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225"/>
      <c r="O310" s="6"/>
      <c r="P310" s="6"/>
      <c r="Q310" s="6"/>
      <c r="R310" s="6"/>
      <c r="S310" s="6"/>
      <c r="T310" s="6"/>
      <c r="U310" s="6"/>
      <c r="V310" s="55"/>
      <c r="W310" s="6"/>
      <c r="X310" s="6"/>
      <c r="Y310" s="6"/>
      <c r="Z310" s="6"/>
      <c r="AA310" s="6"/>
      <c r="AB310" s="6"/>
      <c r="AC310" s="6"/>
    </row>
    <row r="311" spans="1:29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225"/>
      <c r="O311" s="6"/>
      <c r="P311" s="6"/>
      <c r="Q311" s="6"/>
      <c r="R311" s="6"/>
      <c r="S311" s="6"/>
      <c r="T311" s="6"/>
      <c r="U311" s="6"/>
      <c r="V311" s="55"/>
      <c r="W311" s="6"/>
      <c r="X311" s="6"/>
      <c r="Y311" s="6"/>
      <c r="Z311" s="6"/>
      <c r="AA311" s="6"/>
      <c r="AB311" s="6"/>
      <c r="AC311" s="6"/>
    </row>
    <row r="312" spans="1:29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225"/>
      <c r="O312" s="6"/>
      <c r="P312" s="6"/>
      <c r="Q312" s="6"/>
      <c r="R312" s="6"/>
      <c r="S312" s="6"/>
      <c r="T312" s="6"/>
      <c r="U312" s="6"/>
      <c r="V312" s="55"/>
      <c r="W312" s="6"/>
      <c r="X312" s="6"/>
      <c r="Y312" s="6"/>
      <c r="Z312" s="6"/>
      <c r="AA312" s="6"/>
      <c r="AB312" s="6"/>
      <c r="AC312" s="6"/>
    </row>
    <row r="313" spans="1:29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225"/>
      <c r="O313" s="6"/>
      <c r="P313" s="6"/>
      <c r="Q313" s="6"/>
      <c r="R313" s="6"/>
      <c r="S313" s="6"/>
      <c r="T313" s="6"/>
      <c r="U313" s="6"/>
      <c r="V313" s="55"/>
      <c r="W313" s="6"/>
      <c r="X313" s="6"/>
      <c r="Y313" s="6"/>
      <c r="Z313" s="6"/>
      <c r="AA313" s="6"/>
      <c r="AB313" s="6"/>
      <c r="AC313" s="6"/>
    </row>
    <row r="314" spans="1:29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225"/>
      <c r="O314" s="6"/>
      <c r="P314" s="6"/>
      <c r="Q314" s="6"/>
      <c r="R314" s="6"/>
      <c r="S314" s="6"/>
      <c r="T314" s="6"/>
      <c r="U314" s="6"/>
      <c r="V314" s="55"/>
      <c r="W314" s="6"/>
      <c r="X314" s="6"/>
      <c r="Y314" s="6"/>
      <c r="Z314" s="6"/>
      <c r="AA314" s="6"/>
      <c r="AB314" s="6"/>
      <c r="AC314" s="6"/>
    </row>
    <row r="315" spans="1:29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225"/>
      <c r="O315" s="6"/>
      <c r="P315" s="6"/>
      <c r="Q315" s="6"/>
      <c r="R315" s="6"/>
      <c r="S315" s="6"/>
      <c r="T315" s="6"/>
      <c r="U315" s="6"/>
      <c r="V315" s="55"/>
      <c r="W315" s="6"/>
      <c r="X315" s="6"/>
      <c r="Y315" s="6"/>
      <c r="Z315" s="6"/>
      <c r="AA315" s="6"/>
      <c r="AB315" s="6"/>
      <c r="AC315" s="6"/>
    </row>
    <row r="316" spans="1:29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225"/>
      <c r="O316" s="6"/>
      <c r="P316" s="6"/>
      <c r="Q316" s="6"/>
      <c r="R316" s="6"/>
      <c r="S316" s="6"/>
      <c r="T316" s="6"/>
      <c r="U316" s="6"/>
      <c r="V316" s="55"/>
      <c r="W316" s="6"/>
      <c r="X316" s="6"/>
      <c r="Y316" s="6"/>
      <c r="Z316" s="6"/>
      <c r="AA316" s="6"/>
      <c r="AB316" s="6"/>
      <c r="AC316" s="6"/>
    </row>
    <row r="317" spans="1:29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225"/>
      <c r="O317" s="6"/>
      <c r="P317" s="6"/>
      <c r="Q317" s="6"/>
      <c r="R317" s="6"/>
      <c r="S317" s="6"/>
      <c r="T317" s="6"/>
      <c r="U317" s="6"/>
      <c r="V317" s="55"/>
      <c r="W317" s="6"/>
      <c r="X317" s="6"/>
      <c r="Y317" s="6"/>
      <c r="Z317" s="6"/>
      <c r="AA317" s="6"/>
      <c r="AB317" s="6"/>
      <c r="AC317" s="6"/>
    </row>
    <row r="318" spans="1:29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225"/>
      <c r="O318" s="6"/>
      <c r="P318" s="6"/>
      <c r="Q318" s="6"/>
      <c r="R318" s="6"/>
      <c r="S318" s="6"/>
      <c r="T318" s="6"/>
      <c r="U318" s="6"/>
      <c r="V318" s="55"/>
      <c r="W318" s="6"/>
      <c r="X318" s="6"/>
      <c r="Y318" s="6"/>
      <c r="Z318" s="6"/>
      <c r="AA318" s="6"/>
      <c r="AB318" s="6"/>
      <c r="AC318" s="6"/>
    </row>
    <row r="319" spans="1:29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225"/>
      <c r="O319" s="6"/>
      <c r="P319" s="6"/>
      <c r="Q319" s="6"/>
      <c r="R319" s="6"/>
      <c r="S319" s="6"/>
      <c r="T319" s="6"/>
      <c r="U319" s="6"/>
      <c r="V319" s="55"/>
      <c r="W319" s="6"/>
      <c r="X319" s="6"/>
      <c r="Y319" s="6"/>
      <c r="Z319" s="6"/>
      <c r="AA319" s="6"/>
      <c r="AB319" s="6"/>
      <c r="AC319" s="6"/>
    </row>
    <row r="320" spans="1:29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225"/>
      <c r="O320" s="6"/>
      <c r="P320" s="6"/>
      <c r="Q320" s="6"/>
      <c r="R320" s="6"/>
      <c r="S320" s="6"/>
      <c r="T320" s="6"/>
      <c r="U320" s="6"/>
      <c r="V320" s="55"/>
      <c r="W320" s="6"/>
      <c r="X320" s="6"/>
      <c r="Y320" s="6"/>
      <c r="Z320" s="6"/>
      <c r="AA320" s="6"/>
      <c r="AB320" s="6"/>
      <c r="AC320" s="6"/>
    </row>
    <row r="321" spans="1:29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225"/>
      <c r="O321" s="6"/>
      <c r="P321" s="6"/>
      <c r="Q321" s="6"/>
      <c r="R321" s="6"/>
      <c r="S321" s="6"/>
      <c r="T321" s="6"/>
      <c r="U321" s="6"/>
      <c r="V321" s="55"/>
      <c r="W321" s="6"/>
      <c r="X321" s="6"/>
      <c r="Y321" s="6"/>
      <c r="Z321" s="6"/>
      <c r="AA321" s="6"/>
      <c r="AB321" s="6"/>
      <c r="AC321" s="6"/>
    </row>
    <row r="322" spans="1:29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225"/>
      <c r="O322" s="6"/>
      <c r="P322" s="6"/>
      <c r="Q322" s="6"/>
      <c r="R322" s="6"/>
      <c r="S322" s="6"/>
      <c r="T322" s="6"/>
      <c r="U322" s="6"/>
      <c r="V322" s="55"/>
      <c r="W322" s="6"/>
      <c r="X322" s="6"/>
      <c r="Y322" s="6"/>
      <c r="Z322" s="6"/>
      <c r="AA322" s="6"/>
      <c r="AB322" s="6"/>
      <c r="AC322" s="6"/>
    </row>
    <row r="323" spans="1:29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225"/>
      <c r="O323" s="6"/>
      <c r="P323" s="6"/>
      <c r="Q323" s="6"/>
      <c r="R323" s="6"/>
      <c r="S323" s="6"/>
      <c r="T323" s="6"/>
      <c r="U323" s="6"/>
      <c r="V323" s="55"/>
      <c r="W323" s="6"/>
      <c r="X323" s="6"/>
      <c r="Y323" s="6"/>
      <c r="Z323" s="6"/>
      <c r="AA323" s="6"/>
      <c r="AB323" s="6"/>
      <c r="AC323" s="6"/>
    </row>
    <row r="324" spans="1:29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225"/>
      <c r="O324" s="6"/>
      <c r="P324" s="6"/>
      <c r="Q324" s="6"/>
      <c r="R324" s="6"/>
      <c r="S324" s="6"/>
      <c r="T324" s="6"/>
      <c r="U324" s="6"/>
      <c r="V324" s="55"/>
      <c r="W324" s="6"/>
      <c r="X324" s="6"/>
      <c r="Y324" s="6"/>
      <c r="Z324" s="6"/>
      <c r="AA324" s="6"/>
      <c r="AB324" s="6"/>
      <c r="AC324" s="6"/>
    </row>
    <row r="325" spans="1:29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225"/>
      <c r="O325" s="6"/>
      <c r="P325" s="6"/>
      <c r="Q325" s="6"/>
      <c r="R325" s="6"/>
      <c r="S325" s="6"/>
      <c r="T325" s="6"/>
      <c r="U325" s="6"/>
      <c r="V325" s="55"/>
      <c r="W325" s="6"/>
      <c r="X325" s="6"/>
      <c r="Y325" s="6"/>
      <c r="Z325" s="6"/>
      <c r="AA325" s="6"/>
      <c r="AB325" s="6"/>
      <c r="AC325" s="6"/>
    </row>
    <row r="326" spans="1:29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225"/>
      <c r="O326" s="6"/>
      <c r="P326" s="6"/>
      <c r="Q326" s="6"/>
      <c r="R326" s="6"/>
      <c r="S326" s="6"/>
      <c r="T326" s="6"/>
      <c r="U326" s="6"/>
      <c r="V326" s="55"/>
      <c r="W326" s="6"/>
      <c r="X326" s="6"/>
      <c r="Y326" s="6"/>
      <c r="Z326" s="6"/>
      <c r="AA326" s="6"/>
      <c r="AB326" s="6"/>
      <c r="AC326" s="6"/>
    </row>
    <row r="327" spans="1:29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225"/>
      <c r="O327" s="6"/>
      <c r="P327" s="6"/>
      <c r="Q327" s="6"/>
      <c r="R327" s="6"/>
      <c r="S327" s="6"/>
      <c r="T327" s="6"/>
      <c r="U327" s="6"/>
      <c r="V327" s="55"/>
      <c r="W327" s="6"/>
      <c r="X327" s="6"/>
      <c r="Y327" s="6"/>
      <c r="Z327" s="6"/>
      <c r="AA327" s="6"/>
      <c r="AB327" s="6"/>
      <c r="AC327" s="6"/>
    </row>
    <row r="328" spans="1:29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225"/>
      <c r="O328" s="6"/>
      <c r="P328" s="6"/>
      <c r="Q328" s="6"/>
      <c r="R328" s="6"/>
      <c r="S328" s="6"/>
      <c r="T328" s="6"/>
      <c r="U328" s="6"/>
      <c r="V328" s="55"/>
      <c r="W328" s="6"/>
      <c r="X328" s="6"/>
      <c r="Y328" s="6"/>
      <c r="Z328" s="6"/>
      <c r="AA328" s="6"/>
      <c r="AB328" s="6"/>
      <c r="AC328" s="6"/>
    </row>
    <row r="329" spans="1:29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225"/>
      <c r="O329" s="6"/>
      <c r="P329" s="6"/>
      <c r="Q329" s="6"/>
      <c r="R329" s="6"/>
      <c r="S329" s="6"/>
      <c r="T329" s="6"/>
      <c r="U329" s="6"/>
      <c r="V329" s="55"/>
      <c r="W329" s="6"/>
      <c r="X329" s="6"/>
      <c r="Y329" s="6"/>
      <c r="Z329" s="6"/>
      <c r="AA329" s="6"/>
      <c r="AB329" s="6"/>
      <c r="AC329" s="6"/>
    </row>
    <row r="330" spans="1:29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225"/>
      <c r="O330" s="6"/>
      <c r="P330" s="6"/>
      <c r="Q330" s="6"/>
      <c r="R330" s="6"/>
      <c r="S330" s="6"/>
      <c r="T330" s="6"/>
      <c r="U330" s="6"/>
      <c r="V330" s="55"/>
      <c r="W330" s="6"/>
      <c r="X330" s="6"/>
      <c r="Y330" s="6"/>
      <c r="Z330" s="6"/>
      <c r="AA330" s="6"/>
      <c r="AB330" s="6"/>
      <c r="AC330" s="6"/>
    </row>
    <row r="331" spans="1:29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225"/>
      <c r="O331" s="6"/>
      <c r="P331" s="6"/>
      <c r="Q331" s="6"/>
      <c r="R331" s="6"/>
      <c r="S331" s="6"/>
      <c r="T331" s="6"/>
      <c r="U331" s="6"/>
      <c r="V331" s="55"/>
      <c r="W331" s="6"/>
      <c r="X331" s="6"/>
      <c r="Y331" s="6"/>
      <c r="Z331" s="6"/>
      <c r="AA331" s="6"/>
      <c r="AB331" s="6"/>
      <c r="AC331" s="6"/>
    </row>
    <row r="332" spans="1:29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225"/>
      <c r="O332" s="6"/>
      <c r="P332" s="6"/>
      <c r="Q332" s="6"/>
      <c r="R332" s="6"/>
      <c r="S332" s="6"/>
      <c r="T332" s="6"/>
      <c r="U332" s="6"/>
      <c r="V332" s="55"/>
      <c r="W332" s="6"/>
      <c r="X332" s="6"/>
      <c r="Y332" s="6"/>
      <c r="Z332" s="6"/>
      <c r="AA332" s="6"/>
      <c r="AB332" s="6"/>
      <c r="AC332" s="6"/>
    </row>
    <row r="333" spans="1:29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225"/>
      <c r="O333" s="6"/>
      <c r="P333" s="6"/>
      <c r="Q333" s="6"/>
      <c r="R333" s="6"/>
      <c r="S333" s="6"/>
      <c r="T333" s="6"/>
      <c r="U333" s="6"/>
      <c r="V333" s="55"/>
      <c r="W333" s="6"/>
      <c r="X333" s="6"/>
      <c r="Y333" s="6"/>
      <c r="Z333" s="6"/>
      <c r="AA333" s="6"/>
      <c r="AB333" s="6"/>
      <c r="AC333" s="6"/>
    </row>
    <row r="334" spans="1:29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225"/>
      <c r="O334" s="6"/>
      <c r="P334" s="6"/>
      <c r="Q334" s="6"/>
      <c r="R334" s="6"/>
      <c r="S334" s="6"/>
      <c r="T334" s="6"/>
      <c r="U334" s="6"/>
      <c r="V334" s="55"/>
      <c r="W334" s="6"/>
      <c r="X334" s="6"/>
      <c r="Y334" s="6"/>
      <c r="Z334" s="6"/>
      <c r="AA334" s="6"/>
      <c r="AB334" s="6"/>
      <c r="AC334" s="6"/>
    </row>
    <row r="335" spans="1:29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225"/>
      <c r="O335" s="6"/>
      <c r="P335" s="6"/>
      <c r="Q335" s="6"/>
      <c r="R335" s="6"/>
      <c r="S335" s="6"/>
      <c r="T335" s="6"/>
      <c r="U335" s="6"/>
      <c r="V335" s="55"/>
      <c r="W335" s="6"/>
      <c r="X335" s="6"/>
      <c r="Y335" s="6"/>
      <c r="Z335" s="6"/>
      <c r="AA335" s="6"/>
      <c r="AB335" s="6"/>
      <c r="AC335" s="6"/>
    </row>
    <row r="336" spans="1:29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225"/>
      <c r="O336" s="6"/>
      <c r="P336" s="6"/>
      <c r="Q336" s="6"/>
      <c r="R336" s="6"/>
      <c r="S336" s="6"/>
      <c r="T336" s="6"/>
      <c r="U336" s="6"/>
      <c r="V336" s="55"/>
      <c r="W336" s="6"/>
      <c r="X336" s="6"/>
      <c r="Y336" s="6"/>
      <c r="Z336" s="6"/>
      <c r="AA336" s="6"/>
      <c r="AB336" s="6"/>
      <c r="AC336" s="6"/>
    </row>
    <row r="337" spans="1:29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225"/>
      <c r="O337" s="6"/>
      <c r="P337" s="6"/>
      <c r="Q337" s="6"/>
      <c r="R337" s="6"/>
      <c r="S337" s="6"/>
      <c r="T337" s="6"/>
      <c r="U337" s="6"/>
      <c r="V337" s="55"/>
      <c r="W337" s="6"/>
      <c r="X337" s="6"/>
      <c r="Y337" s="6"/>
      <c r="Z337" s="6"/>
      <c r="AA337" s="6"/>
      <c r="AB337" s="6"/>
      <c r="AC337" s="6"/>
    </row>
    <row r="338" spans="1:29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225"/>
      <c r="O338" s="6"/>
      <c r="P338" s="6"/>
      <c r="Q338" s="6"/>
      <c r="R338" s="6"/>
      <c r="S338" s="6"/>
      <c r="T338" s="6"/>
      <c r="U338" s="6"/>
      <c r="V338" s="55"/>
      <c r="W338" s="6"/>
      <c r="X338" s="6"/>
      <c r="Y338" s="6"/>
      <c r="Z338" s="6"/>
      <c r="AA338" s="6"/>
      <c r="AB338" s="6"/>
      <c r="AC338" s="6"/>
    </row>
    <row r="339" spans="1:29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225"/>
      <c r="O339" s="6"/>
      <c r="P339" s="6"/>
      <c r="Q339" s="6"/>
      <c r="R339" s="6"/>
      <c r="S339" s="6"/>
      <c r="T339" s="6"/>
      <c r="U339" s="6"/>
      <c r="V339" s="55"/>
      <c r="W339" s="6"/>
      <c r="X339" s="6"/>
      <c r="Y339" s="6"/>
      <c r="Z339" s="6"/>
      <c r="AA339" s="6"/>
      <c r="AB339" s="6"/>
      <c r="AC339" s="6"/>
    </row>
    <row r="340" spans="1:29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225"/>
      <c r="O340" s="6"/>
      <c r="P340" s="6"/>
      <c r="Q340" s="6"/>
      <c r="R340" s="6"/>
      <c r="S340" s="6"/>
      <c r="T340" s="6"/>
      <c r="U340" s="6"/>
      <c r="V340" s="55"/>
      <c r="W340" s="6"/>
      <c r="X340" s="6"/>
      <c r="Y340" s="6"/>
      <c r="Z340" s="6"/>
      <c r="AA340" s="6"/>
      <c r="AB340" s="6"/>
      <c r="AC340" s="6"/>
    </row>
    <row r="341" spans="1:29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225"/>
      <c r="O341" s="6"/>
      <c r="P341" s="6"/>
      <c r="Q341" s="6"/>
      <c r="R341" s="6"/>
      <c r="S341" s="6"/>
      <c r="T341" s="6"/>
      <c r="U341" s="6"/>
      <c r="V341" s="55"/>
      <c r="W341" s="6"/>
      <c r="X341" s="6"/>
      <c r="Y341" s="6"/>
      <c r="Z341" s="6"/>
      <c r="AA341" s="6"/>
      <c r="AB341" s="6"/>
      <c r="AC341" s="6"/>
    </row>
    <row r="342" spans="1:29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225"/>
      <c r="O342" s="6"/>
      <c r="P342" s="6"/>
      <c r="Q342" s="6"/>
      <c r="R342" s="6"/>
      <c r="S342" s="6"/>
      <c r="T342" s="6"/>
      <c r="U342" s="6"/>
      <c r="V342" s="55"/>
      <c r="W342" s="6"/>
      <c r="X342" s="6"/>
      <c r="Y342" s="6"/>
      <c r="Z342" s="6"/>
      <c r="AA342" s="6"/>
      <c r="AB342" s="6"/>
      <c r="AC342" s="6"/>
    </row>
    <row r="343" spans="1:29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225"/>
      <c r="O343" s="6"/>
      <c r="P343" s="6"/>
      <c r="Q343" s="6"/>
      <c r="R343" s="6"/>
      <c r="S343" s="6"/>
      <c r="T343" s="6"/>
      <c r="U343" s="6"/>
      <c r="V343" s="55"/>
      <c r="W343" s="6"/>
      <c r="X343" s="6"/>
      <c r="Y343" s="6"/>
      <c r="Z343" s="6"/>
      <c r="AA343" s="6"/>
      <c r="AB343" s="6"/>
      <c r="AC343" s="6"/>
    </row>
    <row r="344" spans="1:29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225"/>
      <c r="O344" s="6"/>
      <c r="P344" s="6"/>
      <c r="Q344" s="6"/>
      <c r="R344" s="6"/>
      <c r="S344" s="6"/>
      <c r="T344" s="6"/>
      <c r="U344" s="6"/>
      <c r="V344" s="55"/>
      <c r="W344" s="6"/>
      <c r="X344" s="6"/>
      <c r="Y344" s="6"/>
      <c r="Z344" s="6"/>
      <c r="AA344" s="6"/>
      <c r="AB344" s="6"/>
      <c r="AC344" s="6"/>
    </row>
    <row r="345" spans="1:29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225"/>
      <c r="O345" s="6"/>
      <c r="P345" s="6"/>
      <c r="Q345" s="6"/>
      <c r="R345" s="6"/>
      <c r="S345" s="6"/>
      <c r="T345" s="6"/>
      <c r="U345" s="6"/>
      <c r="V345" s="55"/>
      <c r="W345" s="6"/>
      <c r="X345" s="6"/>
      <c r="Y345" s="6"/>
      <c r="Z345" s="6"/>
      <c r="AA345" s="6"/>
      <c r="AB345" s="6"/>
      <c r="AC345" s="6"/>
    </row>
    <row r="346" spans="1:29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225"/>
      <c r="O346" s="6"/>
      <c r="P346" s="6"/>
      <c r="Q346" s="6"/>
      <c r="R346" s="6"/>
      <c r="S346" s="6"/>
      <c r="T346" s="6"/>
      <c r="U346" s="6"/>
      <c r="V346" s="55"/>
      <c r="W346" s="6"/>
      <c r="X346" s="6"/>
      <c r="Y346" s="6"/>
      <c r="Z346" s="6"/>
      <c r="AA346" s="6"/>
      <c r="AB346" s="6"/>
      <c r="AC346" s="6"/>
    </row>
    <row r="347" spans="1:29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225"/>
      <c r="O347" s="6"/>
      <c r="P347" s="6"/>
      <c r="Q347" s="6"/>
      <c r="R347" s="6"/>
      <c r="S347" s="6"/>
      <c r="T347" s="6"/>
      <c r="U347" s="6"/>
      <c r="V347" s="55"/>
      <c r="W347" s="6"/>
      <c r="X347" s="6"/>
      <c r="Y347" s="6"/>
      <c r="Z347" s="6"/>
      <c r="AA347" s="6"/>
      <c r="AB347" s="6"/>
      <c r="AC347" s="6"/>
    </row>
    <row r="348" spans="1:29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225"/>
      <c r="O348" s="6"/>
      <c r="P348" s="6"/>
      <c r="Q348" s="6"/>
      <c r="R348" s="6"/>
      <c r="S348" s="6"/>
      <c r="T348" s="6"/>
      <c r="U348" s="6"/>
      <c r="V348" s="55"/>
      <c r="W348" s="6"/>
      <c r="X348" s="6"/>
      <c r="Y348" s="6"/>
      <c r="Z348" s="6"/>
      <c r="AA348" s="6"/>
      <c r="AB348" s="6"/>
      <c r="AC348" s="6"/>
    </row>
    <row r="349" spans="1:29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225"/>
      <c r="O349" s="6"/>
      <c r="P349" s="6"/>
      <c r="Q349" s="6"/>
      <c r="R349" s="6"/>
      <c r="S349" s="6"/>
      <c r="T349" s="6"/>
      <c r="U349" s="6"/>
      <c r="V349" s="55"/>
      <c r="W349" s="6"/>
      <c r="X349" s="6"/>
      <c r="Y349" s="6"/>
      <c r="Z349" s="6"/>
      <c r="AA349" s="6"/>
      <c r="AB349" s="6"/>
      <c r="AC349" s="6"/>
    </row>
    <row r="350" spans="1:29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225"/>
      <c r="O350" s="6"/>
      <c r="P350" s="6"/>
      <c r="Q350" s="6"/>
      <c r="R350" s="6"/>
      <c r="S350" s="6"/>
      <c r="T350" s="6"/>
      <c r="U350" s="6"/>
      <c r="V350" s="55"/>
      <c r="W350" s="6"/>
      <c r="X350" s="6"/>
      <c r="Y350" s="6"/>
      <c r="Z350" s="6"/>
      <c r="AA350" s="6"/>
      <c r="AB350" s="6"/>
      <c r="AC350" s="6"/>
    </row>
    <row r="351" spans="1:29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225"/>
      <c r="O351" s="6"/>
      <c r="P351" s="6"/>
      <c r="Q351" s="6"/>
      <c r="R351" s="6"/>
      <c r="S351" s="6"/>
      <c r="T351" s="6"/>
      <c r="U351" s="6"/>
      <c r="V351" s="55"/>
      <c r="W351" s="6"/>
      <c r="X351" s="6"/>
      <c r="Y351" s="6"/>
      <c r="Z351" s="6"/>
      <c r="AA351" s="6"/>
      <c r="AB351" s="6"/>
      <c r="AC351" s="6"/>
    </row>
    <row r="352" spans="1:29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225"/>
      <c r="O352" s="6"/>
      <c r="P352" s="6"/>
      <c r="Q352" s="6"/>
      <c r="R352" s="6"/>
      <c r="S352" s="6"/>
      <c r="T352" s="6"/>
      <c r="U352" s="6"/>
      <c r="V352" s="55"/>
      <c r="W352" s="6"/>
      <c r="X352" s="6"/>
      <c r="Y352" s="6"/>
      <c r="Z352" s="6"/>
      <c r="AA352" s="6"/>
      <c r="AB352" s="6"/>
      <c r="AC352" s="6"/>
    </row>
    <row r="353" spans="1:29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225"/>
      <c r="O353" s="6"/>
      <c r="P353" s="6"/>
      <c r="Q353" s="6"/>
      <c r="R353" s="6"/>
      <c r="S353" s="6"/>
      <c r="T353" s="6"/>
      <c r="U353" s="6"/>
      <c r="V353" s="55"/>
      <c r="W353" s="6"/>
      <c r="X353" s="6"/>
      <c r="Y353" s="6"/>
      <c r="Z353" s="6"/>
      <c r="AA353" s="6"/>
      <c r="AB353" s="6"/>
      <c r="AC353" s="6"/>
    </row>
    <row r="354" spans="1:29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225"/>
      <c r="O354" s="6"/>
      <c r="P354" s="6"/>
      <c r="Q354" s="6"/>
      <c r="R354" s="6"/>
      <c r="S354" s="6"/>
      <c r="T354" s="6"/>
      <c r="U354" s="6"/>
      <c r="V354" s="55"/>
      <c r="W354" s="6"/>
      <c r="X354" s="6"/>
      <c r="Y354" s="6"/>
      <c r="Z354" s="6"/>
      <c r="AA354" s="6"/>
      <c r="AB354" s="6"/>
      <c r="AC354" s="6"/>
    </row>
    <row r="355" spans="1:29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225"/>
      <c r="O355" s="6"/>
      <c r="P355" s="6"/>
      <c r="Q355" s="6"/>
      <c r="R355" s="6"/>
      <c r="S355" s="6"/>
      <c r="T355" s="6"/>
      <c r="U355" s="6"/>
      <c r="V355" s="55"/>
      <c r="W355" s="6"/>
      <c r="X355" s="6"/>
      <c r="Y355" s="6"/>
      <c r="Z355" s="6"/>
      <c r="AA355" s="6"/>
      <c r="AB355" s="6"/>
      <c r="AC355" s="6"/>
    </row>
    <row r="356" spans="1:29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225"/>
      <c r="O356" s="6"/>
      <c r="P356" s="6"/>
      <c r="Q356" s="6"/>
      <c r="R356" s="6"/>
      <c r="S356" s="6"/>
      <c r="T356" s="6"/>
      <c r="U356" s="6"/>
      <c r="V356" s="55"/>
      <c r="W356" s="6"/>
      <c r="X356" s="6"/>
      <c r="Y356" s="6"/>
      <c r="Z356" s="6"/>
      <c r="AA356" s="6"/>
      <c r="AB356" s="6"/>
      <c r="AC356" s="6"/>
    </row>
    <row r="357" spans="1:29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225"/>
      <c r="O357" s="6"/>
      <c r="P357" s="6"/>
      <c r="Q357" s="6"/>
      <c r="R357" s="6"/>
      <c r="S357" s="6"/>
      <c r="T357" s="6"/>
      <c r="U357" s="6"/>
      <c r="V357" s="55"/>
      <c r="W357" s="6"/>
      <c r="X357" s="6"/>
      <c r="Y357" s="6"/>
      <c r="Z357" s="6"/>
      <c r="AA357" s="6"/>
      <c r="AB357" s="6"/>
      <c r="AC357" s="6"/>
    </row>
    <row r="358" spans="1:29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225"/>
      <c r="O358" s="6"/>
      <c r="P358" s="6"/>
      <c r="Q358" s="6"/>
      <c r="R358" s="6"/>
      <c r="S358" s="6"/>
      <c r="T358" s="6"/>
      <c r="U358" s="6"/>
      <c r="V358" s="55"/>
      <c r="W358" s="6"/>
      <c r="X358" s="6"/>
      <c r="Y358" s="6"/>
      <c r="Z358" s="6"/>
      <c r="AA358" s="6"/>
      <c r="AB358" s="6"/>
      <c r="AC358" s="6"/>
    </row>
    <row r="359" spans="1:29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225"/>
      <c r="O359" s="6"/>
      <c r="P359" s="6"/>
      <c r="Q359" s="6"/>
      <c r="R359" s="6"/>
      <c r="S359" s="6"/>
      <c r="T359" s="6"/>
      <c r="U359" s="6"/>
      <c r="V359" s="55"/>
      <c r="W359" s="6"/>
      <c r="X359" s="6"/>
      <c r="Y359" s="6"/>
      <c r="Z359" s="6"/>
      <c r="AA359" s="6"/>
      <c r="AB359" s="6"/>
      <c r="AC359" s="6"/>
    </row>
    <row r="360" spans="1:29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225"/>
      <c r="O360" s="6"/>
      <c r="P360" s="6"/>
      <c r="Q360" s="6"/>
      <c r="R360" s="6"/>
      <c r="S360" s="6"/>
      <c r="T360" s="6"/>
      <c r="U360" s="6"/>
      <c r="V360" s="55"/>
      <c r="W360" s="6"/>
      <c r="X360" s="6"/>
      <c r="Y360" s="6"/>
      <c r="Z360" s="6"/>
      <c r="AA360" s="6"/>
      <c r="AB360" s="6"/>
      <c r="AC360" s="6"/>
    </row>
    <row r="361" spans="1:29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225"/>
      <c r="O361" s="6"/>
      <c r="P361" s="6"/>
      <c r="Q361" s="6"/>
      <c r="R361" s="6"/>
      <c r="S361" s="6"/>
      <c r="T361" s="6"/>
      <c r="U361" s="6"/>
      <c r="V361" s="55"/>
      <c r="W361" s="6"/>
      <c r="X361" s="6"/>
      <c r="Y361" s="6"/>
      <c r="Z361" s="6"/>
      <c r="AA361" s="6"/>
      <c r="AB361" s="6"/>
      <c r="AC361" s="6"/>
    </row>
    <row r="362" spans="1:29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225"/>
      <c r="O362" s="6"/>
      <c r="P362" s="6"/>
      <c r="Q362" s="6"/>
      <c r="R362" s="6"/>
      <c r="S362" s="6"/>
      <c r="T362" s="6"/>
      <c r="U362" s="6"/>
      <c r="V362" s="55"/>
      <c r="W362" s="6"/>
      <c r="X362" s="6"/>
      <c r="Y362" s="6"/>
      <c r="Z362" s="6"/>
      <c r="AA362" s="6"/>
      <c r="AB362" s="6"/>
      <c r="AC362" s="6"/>
    </row>
    <row r="363" spans="1:29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225"/>
      <c r="O363" s="6"/>
      <c r="P363" s="6"/>
      <c r="Q363" s="6"/>
      <c r="R363" s="6"/>
      <c r="S363" s="6"/>
      <c r="T363" s="6"/>
      <c r="U363" s="6"/>
      <c r="V363" s="55"/>
      <c r="W363" s="6"/>
      <c r="X363" s="6"/>
      <c r="Y363" s="6"/>
      <c r="Z363" s="6"/>
      <c r="AA363" s="6"/>
      <c r="AB363" s="6"/>
      <c r="AC363" s="6"/>
    </row>
    <row r="364" spans="1:29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225"/>
      <c r="O364" s="6"/>
      <c r="P364" s="6"/>
      <c r="Q364" s="6"/>
      <c r="R364" s="6"/>
      <c r="S364" s="6"/>
      <c r="T364" s="6"/>
      <c r="U364" s="6"/>
      <c r="V364" s="55"/>
      <c r="W364" s="6"/>
      <c r="X364" s="6"/>
      <c r="Y364" s="6"/>
      <c r="Z364" s="6"/>
      <c r="AA364" s="6"/>
      <c r="AB364" s="6"/>
      <c r="AC364" s="6"/>
    </row>
    <row r="365" spans="1:29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225"/>
      <c r="O365" s="6"/>
      <c r="P365" s="6"/>
      <c r="Q365" s="6"/>
      <c r="R365" s="6"/>
      <c r="S365" s="6"/>
      <c r="T365" s="6"/>
      <c r="U365" s="6"/>
      <c r="V365" s="55"/>
      <c r="W365" s="6"/>
      <c r="X365" s="6"/>
      <c r="Y365" s="6"/>
      <c r="Z365" s="6"/>
      <c r="AA365" s="6"/>
      <c r="AB365" s="6"/>
      <c r="AC365" s="6"/>
    </row>
    <row r="366" spans="1:29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225"/>
      <c r="O366" s="6"/>
      <c r="P366" s="6"/>
      <c r="Q366" s="6"/>
      <c r="R366" s="6"/>
      <c r="S366" s="6"/>
      <c r="T366" s="6"/>
      <c r="U366" s="6"/>
      <c r="V366" s="55"/>
      <c r="W366" s="6"/>
      <c r="X366" s="6"/>
      <c r="Y366" s="6"/>
      <c r="Z366" s="6"/>
      <c r="AA366" s="6"/>
      <c r="AB366" s="6"/>
      <c r="AC366" s="6"/>
    </row>
    <row r="367" spans="1:29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225"/>
      <c r="O367" s="6"/>
      <c r="P367" s="6"/>
      <c r="Q367" s="6"/>
      <c r="R367" s="6"/>
      <c r="S367" s="6"/>
      <c r="T367" s="6"/>
      <c r="U367" s="6"/>
      <c r="V367" s="55"/>
      <c r="W367" s="6"/>
      <c r="X367" s="6"/>
      <c r="Y367" s="6"/>
      <c r="Z367" s="6"/>
      <c r="AA367" s="6"/>
      <c r="AB367" s="6"/>
      <c r="AC367" s="6"/>
    </row>
    <row r="368" spans="1:29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225"/>
      <c r="O368" s="6"/>
      <c r="P368" s="6"/>
      <c r="Q368" s="6"/>
      <c r="R368" s="6"/>
      <c r="S368" s="6"/>
      <c r="T368" s="6"/>
      <c r="U368" s="6"/>
      <c r="V368" s="55"/>
      <c r="W368" s="6"/>
      <c r="X368" s="6"/>
      <c r="Y368" s="6"/>
      <c r="Z368" s="6"/>
      <c r="AA368" s="6"/>
      <c r="AB368" s="6"/>
      <c r="AC368" s="6"/>
    </row>
    <row r="369" spans="1:29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225"/>
      <c r="O369" s="6"/>
      <c r="P369" s="6"/>
      <c r="Q369" s="6"/>
      <c r="R369" s="6"/>
      <c r="S369" s="6"/>
      <c r="T369" s="6"/>
      <c r="U369" s="6"/>
      <c r="V369" s="55"/>
      <c r="W369" s="6"/>
      <c r="X369" s="6"/>
      <c r="Y369" s="6"/>
      <c r="Z369" s="6"/>
      <c r="AA369" s="6"/>
      <c r="AB369" s="6"/>
      <c r="AC369" s="6"/>
    </row>
    <row r="370" spans="1:29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225"/>
      <c r="O370" s="6"/>
      <c r="P370" s="6"/>
      <c r="Q370" s="6"/>
      <c r="R370" s="6"/>
      <c r="S370" s="6"/>
      <c r="T370" s="6"/>
      <c r="U370" s="6"/>
      <c r="V370" s="55"/>
      <c r="W370" s="6"/>
      <c r="X370" s="6"/>
      <c r="Y370" s="6"/>
      <c r="Z370" s="6"/>
      <c r="AA370" s="6"/>
      <c r="AB370" s="6"/>
      <c r="AC370" s="6"/>
    </row>
    <row r="371" spans="1:29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225"/>
      <c r="O371" s="6"/>
      <c r="P371" s="6"/>
      <c r="Q371" s="6"/>
      <c r="R371" s="6"/>
      <c r="S371" s="6"/>
      <c r="T371" s="6"/>
      <c r="U371" s="6"/>
      <c r="V371" s="55"/>
      <c r="W371" s="6"/>
      <c r="X371" s="6"/>
      <c r="Y371" s="6"/>
      <c r="Z371" s="6"/>
      <c r="AA371" s="6"/>
      <c r="AB371" s="6"/>
      <c r="AC371" s="6"/>
    </row>
    <row r="372" spans="1:29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225"/>
      <c r="O372" s="6"/>
      <c r="P372" s="6"/>
      <c r="Q372" s="6"/>
      <c r="R372" s="6"/>
      <c r="S372" s="6"/>
      <c r="T372" s="6"/>
      <c r="U372" s="6"/>
      <c r="V372" s="55"/>
      <c r="W372" s="6"/>
      <c r="X372" s="6"/>
      <c r="Y372" s="6"/>
      <c r="Z372" s="6"/>
      <c r="AA372" s="6"/>
      <c r="AB372" s="6"/>
      <c r="AC372" s="6"/>
    </row>
    <row r="373" spans="1:29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225"/>
      <c r="O373" s="6"/>
      <c r="P373" s="6"/>
      <c r="Q373" s="6"/>
      <c r="R373" s="6"/>
      <c r="S373" s="6"/>
      <c r="T373" s="6"/>
      <c r="U373" s="6"/>
      <c r="V373" s="55"/>
      <c r="W373" s="6"/>
      <c r="X373" s="6"/>
      <c r="Y373" s="6"/>
      <c r="Z373" s="6"/>
      <c r="AA373" s="6"/>
      <c r="AB373" s="6"/>
      <c r="AC373" s="6"/>
    </row>
    <row r="374" spans="1:29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225"/>
      <c r="O374" s="6"/>
      <c r="P374" s="6"/>
      <c r="Q374" s="6"/>
      <c r="R374" s="6"/>
      <c r="S374" s="6"/>
      <c r="T374" s="6"/>
      <c r="U374" s="6"/>
      <c r="V374" s="55"/>
      <c r="W374" s="6"/>
      <c r="X374" s="6"/>
      <c r="Y374" s="6"/>
      <c r="Z374" s="6"/>
      <c r="AA374" s="6"/>
      <c r="AB374" s="6"/>
      <c r="AC374" s="6"/>
    </row>
    <row r="375" spans="1:29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225"/>
      <c r="O375" s="6"/>
      <c r="P375" s="6"/>
      <c r="Q375" s="6"/>
      <c r="R375" s="6"/>
      <c r="S375" s="6"/>
      <c r="T375" s="6"/>
      <c r="U375" s="6"/>
      <c r="V375" s="55"/>
      <c r="W375" s="6"/>
      <c r="X375" s="6"/>
      <c r="Y375" s="6"/>
      <c r="Z375" s="6"/>
      <c r="AA375" s="6"/>
      <c r="AB375" s="6"/>
      <c r="AC375" s="6"/>
    </row>
    <row r="376" spans="1:29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225"/>
      <c r="O376" s="6"/>
      <c r="P376" s="6"/>
      <c r="Q376" s="6"/>
      <c r="R376" s="6"/>
      <c r="S376" s="6"/>
      <c r="T376" s="6"/>
      <c r="U376" s="6"/>
      <c r="V376" s="55"/>
      <c r="W376" s="6"/>
      <c r="X376" s="6"/>
      <c r="Y376" s="6"/>
      <c r="Z376" s="6"/>
      <c r="AA376" s="6"/>
      <c r="AB376" s="6"/>
      <c r="AC376" s="6"/>
    </row>
    <row r="377" spans="1:29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225"/>
      <c r="O377" s="6"/>
      <c r="P377" s="6"/>
      <c r="Q377" s="6"/>
      <c r="R377" s="6"/>
      <c r="S377" s="6"/>
      <c r="T377" s="6"/>
      <c r="U377" s="6"/>
      <c r="V377" s="55"/>
      <c r="W377" s="6"/>
      <c r="X377" s="6"/>
      <c r="Y377" s="6"/>
      <c r="Z377" s="6"/>
      <c r="AA377" s="6"/>
      <c r="AB377" s="6"/>
      <c r="AC377" s="6"/>
    </row>
    <row r="378" spans="1:29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225"/>
      <c r="O378" s="6"/>
      <c r="P378" s="6"/>
      <c r="Q378" s="6"/>
      <c r="R378" s="6"/>
      <c r="S378" s="6"/>
      <c r="T378" s="6"/>
      <c r="U378" s="6"/>
      <c r="V378" s="55"/>
      <c r="W378" s="6"/>
      <c r="X378" s="6"/>
      <c r="Y378" s="6"/>
      <c r="Z378" s="6"/>
      <c r="AA378" s="6"/>
      <c r="AB378" s="6"/>
      <c r="AC378" s="6"/>
    </row>
    <row r="379" spans="1:29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225"/>
      <c r="O379" s="6"/>
      <c r="P379" s="6"/>
      <c r="Q379" s="6"/>
      <c r="R379" s="6"/>
      <c r="S379" s="6"/>
      <c r="T379" s="6"/>
      <c r="U379" s="6"/>
      <c r="V379" s="55"/>
      <c r="W379" s="6"/>
      <c r="X379" s="6"/>
      <c r="Y379" s="6"/>
      <c r="Z379" s="6"/>
      <c r="AA379" s="6"/>
      <c r="AB379" s="6"/>
      <c r="AC379" s="6"/>
    </row>
    <row r="380" spans="1:29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225"/>
      <c r="O380" s="6"/>
      <c r="P380" s="6"/>
      <c r="Q380" s="6"/>
      <c r="R380" s="6"/>
      <c r="S380" s="6"/>
      <c r="T380" s="6"/>
      <c r="U380" s="6"/>
      <c r="V380" s="55"/>
      <c r="W380" s="6"/>
      <c r="X380" s="6"/>
      <c r="Y380" s="6"/>
      <c r="Z380" s="6"/>
      <c r="AA380" s="6"/>
      <c r="AB380" s="6"/>
      <c r="AC380" s="6"/>
    </row>
    <row r="381" spans="1:29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225"/>
      <c r="O381" s="6"/>
      <c r="P381" s="6"/>
      <c r="Q381" s="6"/>
      <c r="R381" s="6"/>
      <c r="S381" s="6"/>
      <c r="T381" s="6"/>
      <c r="U381" s="6"/>
      <c r="V381" s="55"/>
      <c r="W381" s="6"/>
      <c r="X381" s="6"/>
      <c r="Y381" s="6"/>
      <c r="Z381" s="6"/>
      <c r="AA381" s="6"/>
      <c r="AB381" s="6"/>
      <c r="AC381" s="6"/>
    </row>
    <row r="382" spans="1:29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225"/>
      <c r="O382" s="6"/>
      <c r="P382" s="6"/>
      <c r="Q382" s="6"/>
      <c r="R382" s="6"/>
      <c r="S382" s="6"/>
      <c r="T382" s="6"/>
      <c r="U382" s="6"/>
      <c r="V382" s="55"/>
      <c r="W382" s="6"/>
      <c r="X382" s="6"/>
      <c r="Y382" s="6"/>
      <c r="Z382" s="6"/>
      <c r="AA382" s="6"/>
      <c r="AB382" s="6"/>
      <c r="AC382" s="6"/>
    </row>
    <row r="383" spans="1:29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225"/>
      <c r="O383" s="6"/>
      <c r="P383" s="6"/>
      <c r="Q383" s="6"/>
      <c r="R383" s="6"/>
      <c r="S383" s="6"/>
      <c r="T383" s="6"/>
      <c r="U383" s="6"/>
      <c r="V383" s="55"/>
      <c r="W383" s="6"/>
      <c r="X383" s="6"/>
      <c r="Y383" s="6"/>
      <c r="Z383" s="6"/>
      <c r="AA383" s="6"/>
      <c r="AB383" s="6"/>
      <c r="AC383" s="6"/>
    </row>
    <row r="384" spans="1:29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225"/>
      <c r="O384" s="6"/>
      <c r="P384" s="6"/>
      <c r="Q384" s="6"/>
      <c r="R384" s="6"/>
      <c r="S384" s="6"/>
      <c r="T384" s="6"/>
      <c r="U384" s="6"/>
      <c r="V384" s="55"/>
      <c r="W384" s="6"/>
      <c r="X384" s="6"/>
      <c r="Y384" s="6"/>
      <c r="Z384" s="6"/>
      <c r="AA384" s="6"/>
      <c r="AB384" s="6"/>
      <c r="AC384" s="6"/>
    </row>
    <row r="385" spans="1:29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225"/>
      <c r="O385" s="6"/>
      <c r="P385" s="6"/>
      <c r="Q385" s="6"/>
      <c r="R385" s="6"/>
      <c r="S385" s="6"/>
      <c r="T385" s="6"/>
      <c r="U385" s="6"/>
      <c r="V385" s="55"/>
      <c r="W385" s="6"/>
      <c r="X385" s="6"/>
      <c r="Y385" s="6"/>
      <c r="Z385" s="6"/>
      <c r="AA385" s="6"/>
      <c r="AB385" s="6"/>
      <c r="AC385" s="6"/>
    </row>
    <row r="386" spans="1:29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225"/>
      <c r="O386" s="6"/>
      <c r="P386" s="6"/>
      <c r="Q386" s="6"/>
      <c r="R386" s="6"/>
      <c r="S386" s="6"/>
      <c r="T386" s="6"/>
      <c r="U386" s="6"/>
      <c r="V386" s="55"/>
      <c r="W386" s="6"/>
      <c r="X386" s="6"/>
      <c r="Y386" s="6"/>
      <c r="Z386" s="6"/>
      <c r="AA386" s="6"/>
      <c r="AB386" s="6"/>
      <c r="AC386" s="6"/>
    </row>
    <row r="387" spans="1:29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225"/>
      <c r="O387" s="6"/>
      <c r="P387" s="6"/>
      <c r="Q387" s="6"/>
      <c r="R387" s="6"/>
      <c r="S387" s="6"/>
      <c r="T387" s="6"/>
      <c r="U387" s="6"/>
      <c r="V387" s="55"/>
      <c r="W387" s="6"/>
      <c r="X387" s="6"/>
      <c r="Y387" s="6"/>
      <c r="Z387" s="6"/>
      <c r="AA387" s="6"/>
      <c r="AB387" s="6"/>
      <c r="AC387" s="6"/>
    </row>
    <row r="388" spans="1:29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225"/>
      <c r="O388" s="6"/>
      <c r="P388" s="6"/>
      <c r="Q388" s="6"/>
      <c r="R388" s="6"/>
      <c r="S388" s="6"/>
      <c r="T388" s="6"/>
      <c r="U388" s="6"/>
      <c r="V388" s="55"/>
      <c r="W388" s="6"/>
      <c r="X388" s="6"/>
      <c r="Y388" s="6"/>
      <c r="Z388" s="6"/>
      <c r="AA388" s="6"/>
      <c r="AB388" s="6"/>
      <c r="AC388" s="6"/>
    </row>
    <row r="389" spans="1:29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225"/>
      <c r="O389" s="6"/>
      <c r="P389" s="6"/>
      <c r="Q389" s="6"/>
      <c r="R389" s="6"/>
      <c r="S389" s="6"/>
      <c r="T389" s="6"/>
      <c r="U389" s="6"/>
      <c r="V389" s="55"/>
      <c r="W389" s="6"/>
      <c r="X389" s="6"/>
      <c r="Y389" s="6"/>
      <c r="Z389" s="6"/>
      <c r="AA389" s="6"/>
      <c r="AB389" s="6"/>
      <c r="AC389" s="6"/>
    </row>
    <row r="390" spans="1:29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225"/>
      <c r="O390" s="6"/>
      <c r="P390" s="6"/>
      <c r="Q390" s="6"/>
      <c r="R390" s="6"/>
      <c r="S390" s="6"/>
      <c r="T390" s="6"/>
      <c r="U390" s="6"/>
      <c r="V390" s="55"/>
      <c r="W390" s="6"/>
      <c r="X390" s="6"/>
      <c r="Y390" s="6"/>
      <c r="Z390" s="6"/>
      <c r="AA390" s="6"/>
      <c r="AB390" s="6"/>
      <c r="AC390" s="6"/>
    </row>
    <row r="391" spans="1:29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225"/>
      <c r="O391" s="6"/>
      <c r="P391" s="6"/>
      <c r="Q391" s="6"/>
      <c r="R391" s="6"/>
      <c r="S391" s="6"/>
      <c r="T391" s="6"/>
      <c r="U391" s="6"/>
      <c r="V391" s="55"/>
      <c r="W391" s="6"/>
      <c r="X391" s="6"/>
      <c r="Y391" s="6"/>
      <c r="Z391" s="6"/>
      <c r="AA391" s="6"/>
      <c r="AB391" s="6"/>
      <c r="AC391" s="6"/>
    </row>
    <row r="392" spans="1:29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225"/>
      <c r="O392" s="6"/>
      <c r="P392" s="6"/>
      <c r="Q392" s="6"/>
      <c r="R392" s="6"/>
      <c r="S392" s="6"/>
      <c r="T392" s="6"/>
      <c r="U392" s="6"/>
      <c r="V392" s="55"/>
      <c r="W392" s="6"/>
      <c r="X392" s="6"/>
      <c r="Y392" s="6"/>
      <c r="Z392" s="6"/>
      <c r="AA392" s="6"/>
      <c r="AB392" s="6"/>
      <c r="AC392" s="6"/>
    </row>
    <row r="393" spans="1:29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225"/>
      <c r="O393" s="6"/>
      <c r="P393" s="6"/>
      <c r="Q393" s="6"/>
      <c r="R393" s="6"/>
      <c r="S393" s="6"/>
      <c r="T393" s="6"/>
      <c r="U393" s="6"/>
      <c r="V393" s="55"/>
      <c r="W393" s="6"/>
      <c r="X393" s="6"/>
      <c r="Y393" s="6"/>
      <c r="Z393" s="6"/>
      <c r="AA393" s="6"/>
      <c r="AB393" s="6"/>
      <c r="AC393" s="6"/>
    </row>
    <row r="394" spans="1:29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225"/>
      <c r="O394" s="6"/>
      <c r="P394" s="6"/>
      <c r="Q394" s="6"/>
      <c r="R394" s="6"/>
      <c r="S394" s="6"/>
      <c r="T394" s="6"/>
      <c r="U394" s="6"/>
      <c r="V394" s="55"/>
      <c r="W394" s="6"/>
      <c r="X394" s="6"/>
      <c r="Y394" s="6"/>
      <c r="Z394" s="6"/>
      <c r="AA394" s="6"/>
      <c r="AB394" s="6"/>
      <c r="AC394" s="6"/>
    </row>
    <row r="395" spans="1:29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225"/>
      <c r="O395" s="6"/>
      <c r="P395" s="6"/>
      <c r="Q395" s="6"/>
      <c r="R395" s="6"/>
      <c r="S395" s="6"/>
      <c r="T395" s="6"/>
      <c r="U395" s="6"/>
      <c r="V395" s="55"/>
      <c r="W395" s="6"/>
      <c r="X395" s="6"/>
      <c r="Y395" s="6"/>
      <c r="Z395" s="6"/>
      <c r="AA395" s="6"/>
      <c r="AB395" s="6"/>
      <c r="AC395" s="6"/>
    </row>
    <row r="396" spans="1:29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225"/>
      <c r="O396" s="6"/>
      <c r="P396" s="6"/>
      <c r="Q396" s="6"/>
      <c r="R396" s="6"/>
      <c r="S396" s="6"/>
      <c r="T396" s="6"/>
      <c r="U396" s="6"/>
      <c r="V396" s="55"/>
      <c r="W396" s="6"/>
      <c r="X396" s="6"/>
      <c r="Y396" s="6"/>
      <c r="Z396" s="6"/>
      <c r="AA396" s="6"/>
      <c r="AB396" s="6"/>
      <c r="AC396" s="6"/>
    </row>
    <row r="397" spans="1:29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225"/>
      <c r="O397" s="6"/>
      <c r="P397" s="6"/>
      <c r="Q397" s="6"/>
      <c r="R397" s="6"/>
      <c r="S397" s="6"/>
      <c r="T397" s="6"/>
      <c r="U397" s="6"/>
      <c r="V397" s="55"/>
      <c r="W397" s="6"/>
      <c r="X397" s="6"/>
      <c r="Y397" s="6"/>
      <c r="Z397" s="6"/>
      <c r="AA397" s="6"/>
      <c r="AB397" s="6"/>
      <c r="AC397" s="6"/>
    </row>
    <row r="398" spans="1:29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225"/>
      <c r="O398" s="6"/>
      <c r="P398" s="6"/>
      <c r="Q398" s="6"/>
      <c r="R398" s="6"/>
      <c r="S398" s="6"/>
      <c r="T398" s="6"/>
      <c r="U398" s="6"/>
      <c r="V398" s="55"/>
      <c r="W398" s="6"/>
      <c r="X398" s="6"/>
      <c r="Y398" s="6"/>
      <c r="Z398" s="6"/>
      <c r="AA398" s="6"/>
      <c r="AB398" s="6"/>
      <c r="AC398" s="6"/>
    </row>
    <row r="399" spans="1:29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225"/>
      <c r="O399" s="6"/>
      <c r="P399" s="6"/>
      <c r="Q399" s="6"/>
      <c r="R399" s="6"/>
      <c r="S399" s="6"/>
      <c r="T399" s="6"/>
      <c r="U399" s="6"/>
      <c r="V399" s="55"/>
      <c r="W399" s="6"/>
      <c r="X399" s="6"/>
      <c r="Y399" s="6"/>
      <c r="Z399" s="6"/>
      <c r="AA399" s="6"/>
      <c r="AB399" s="6"/>
      <c r="AC399" s="6"/>
    </row>
    <row r="400" spans="1:29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225"/>
      <c r="O400" s="6"/>
      <c r="P400" s="6"/>
      <c r="Q400" s="6"/>
      <c r="R400" s="6"/>
      <c r="S400" s="6"/>
      <c r="T400" s="6"/>
      <c r="U400" s="6"/>
      <c r="V400" s="55"/>
      <c r="W400" s="6"/>
      <c r="X400" s="6"/>
      <c r="Y400" s="6"/>
      <c r="Z400" s="6"/>
      <c r="AA400" s="6"/>
      <c r="AB400" s="6"/>
      <c r="AC400" s="6"/>
    </row>
    <row r="401" spans="1:29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225"/>
      <c r="O401" s="6"/>
      <c r="P401" s="6"/>
      <c r="Q401" s="6"/>
      <c r="R401" s="6"/>
      <c r="S401" s="6"/>
      <c r="T401" s="6"/>
      <c r="U401" s="6"/>
      <c r="V401" s="55"/>
      <c r="W401" s="6"/>
      <c r="X401" s="6"/>
      <c r="Y401" s="6"/>
      <c r="Z401" s="6"/>
      <c r="AA401" s="6"/>
      <c r="AB401" s="6"/>
      <c r="AC401" s="6"/>
    </row>
    <row r="402" spans="1:29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225"/>
      <c r="O402" s="6"/>
      <c r="P402" s="6"/>
      <c r="Q402" s="6"/>
      <c r="R402" s="6"/>
      <c r="S402" s="6"/>
      <c r="T402" s="6"/>
      <c r="U402" s="6"/>
      <c r="V402" s="55"/>
      <c r="W402" s="6"/>
      <c r="X402" s="6"/>
      <c r="Y402" s="6"/>
      <c r="Z402" s="6"/>
      <c r="AA402" s="6"/>
      <c r="AB402" s="6"/>
      <c r="AC402" s="6"/>
    </row>
    <row r="403" spans="1:29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225"/>
      <c r="O403" s="6"/>
      <c r="P403" s="6"/>
      <c r="Q403" s="6"/>
      <c r="R403" s="6"/>
      <c r="S403" s="6"/>
      <c r="T403" s="6"/>
      <c r="U403" s="6"/>
      <c r="V403" s="55"/>
      <c r="W403" s="6"/>
      <c r="X403" s="6"/>
      <c r="Y403" s="6"/>
      <c r="Z403" s="6"/>
      <c r="AA403" s="6"/>
      <c r="AB403" s="6"/>
      <c r="AC403" s="6"/>
    </row>
    <row r="404" spans="1:29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225"/>
      <c r="O404" s="6"/>
      <c r="P404" s="6"/>
      <c r="Q404" s="6"/>
      <c r="R404" s="6"/>
      <c r="S404" s="6"/>
      <c r="T404" s="6"/>
      <c r="U404" s="6"/>
      <c r="V404" s="55"/>
      <c r="W404" s="6"/>
      <c r="X404" s="6"/>
      <c r="Y404" s="6"/>
      <c r="Z404" s="6"/>
      <c r="AA404" s="6"/>
      <c r="AB404" s="6"/>
      <c r="AC404" s="6"/>
    </row>
    <row r="405" spans="1:29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225"/>
      <c r="O405" s="6"/>
      <c r="P405" s="6"/>
      <c r="Q405" s="6"/>
      <c r="R405" s="6"/>
      <c r="S405" s="6"/>
      <c r="T405" s="6"/>
      <c r="U405" s="6"/>
      <c r="V405" s="55"/>
      <c r="W405" s="6"/>
      <c r="X405" s="6"/>
      <c r="Y405" s="6"/>
      <c r="Z405" s="6"/>
      <c r="AA405" s="6"/>
      <c r="AB405" s="6"/>
      <c r="AC405" s="6"/>
    </row>
    <row r="406" spans="1:29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225"/>
      <c r="O406" s="6"/>
      <c r="P406" s="6"/>
      <c r="Q406" s="6"/>
      <c r="R406" s="6"/>
      <c r="S406" s="6"/>
      <c r="T406" s="6"/>
      <c r="U406" s="6"/>
      <c r="V406" s="55"/>
      <c r="W406" s="6"/>
      <c r="X406" s="6"/>
      <c r="Y406" s="6"/>
      <c r="Z406" s="6"/>
      <c r="AA406" s="6"/>
      <c r="AB406" s="6"/>
      <c r="AC406" s="6"/>
    </row>
    <row r="407" spans="1:29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225"/>
      <c r="O407" s="6"/>
      <c r="P407" s="6"/>
      <c r="Q407" s="6"/>
      <c r="R407" s="6"/>
      <c r="S407" s="6"/>
      <c r="T407" s="6"/>
      <c r="U407" s="6"/>
      <c r="V407" s="55"/>
      <c r="W407" s="6"/>
      <c r="X407" s="6"/>
      <c r="Y407" s="6"/>
      <c r="Z407" s="6"/>
      <c r="AA407" s="6"/>
      <c r="AB407" s="6"/>
      <c r="AC407" s="6"/>
    </row>
    <row r="408" spans="1:29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225"/>
      <c r="O408" s="6"/>
      <c r="P408" s="6"/>
      <c r="Q408" s="6"/>
      <c r="R408" s="6"/>
      <c r="S408" s="6"/>
      <c r="T408" s="6"/>
      <c r="U408" s="6"/>
      <c r="V408" s="55"/>
      <c r="W408" s="6"/>
      <c r="X408" s="6"/>
      <c r="Y408" s="6"/>
      <c r="Z408" s="6"/>
      <c r="AA408" s="6"/>
      <c r="AB408" s="6"/>
      <c r="AC408" s="6"/>
    </row>
    <row r="409" spans="1:29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225"/>
      <c r="O409" s="6"/>
      <c r="P409" s="6"/>
      <c r="Q409" s="6"/>
      <c r="R409" s="6"/>
      <c r="S409" s="6"/>
      <c r="T409" s="6"/>
      <c r="U409" s="6"/>
      <c r="V409" s="55"/>
      <c r="W409" s="6"/>
      <c r="X409" s="6"/>
      <c r="Y409" s="6"/>
      <c r="Z409" s="6"/>
      <c r="AA409" s="6"/>
      <c r="AB409" s="6"/>
      <c r="AC409" s="6"/>
    </row>
    <row r="410" spans="1:29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225"/>
      <c r="O410" s="6"/>
      <c r="P410" s="6"/>
      <c r="Q410" s="6"/>
      <c r="R410" s="6"/>
      <c r="S410" s="6"/>
      <c r="T410" s="6"/>
      <c r="U410" s="6"/>
      <c r="V410" s="55"/>
      <c r="W410" s="6"/>
      <c r="X410" s="6"/>
      <c r="Y410" s="6"/>
      <c r="Z410" s="6"/>
      <c r="AA410" s="6"/>
      <c r="AB410" s="6"/>
      <c r="AC410" s="6"/>
    </row>
    <row r="411" spans="1:29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225"/>
      <c r="O411" s="6"/>
      <c r="P411" s="6"/>
      <c r="Q411" s="6"/>
      <c r="R411" s="6"/>
      <c r="S411" s="6"/>
      <c r="T411" s="6"/>
      <c r="U411" s="6"/>
      <c r="V411" s="55"/>
      <c r="W411" s="6"/>
      <c r="X411" s="6"/>
      <c r="Y411" s="6"/>
      <c r="Z411" s="6"/>
      <c r="AA411" s="6"/>
      <c r="AB411" s="6"/>
      <c r="AC411" s="6"/>
    </row>
    <row r="412" spans="1:29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225"/>
      <c r="O412" s="6"/>
      <c r="P412" s="6"/>
      <c r="Q412" s="6"/>
      <c r="R412" s="6"/>
      <c r="S412" s="6"/>
      <c r="T412" s="6"/>
      <c r="U412" s="6"/>
      <c r="V412" s="55"/>
      <c r="W412" s="6"/>
      <c r="X412" s="6"/>
      <c r="Y412" s="6"/>
      <c r="Z412" s="6"/>
      <c r="AA412" s="6"/>
      <c r="AB412" s="6"/>
      <c r="AC412" s="6"/>
    </row>
    <row r="413" spans="1:29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225"/>
      <c r="O413" s="6"/>
      <c r="P413" s="6"/>
      <c r="Q413" s="6"/>
      <c r="R413" s="6"/>
      <c r="S413" s="6"/>
      <c r="T413" s="6"/>
      <c r="U413" s="6"/>
      <c r="V413" s="55"/>
      <c r="W413" s="6"/>
      <c r="X413" s="6"/>
      <c r="Y413" s="6"/>
      <c r="Z413" s="6"/>
      <c r="AA413" s="6"/>
      <c r="AB413" s="6"/>
      <c r="AC413" s="6"/>
    </row>
    <row r="414" spans="1:29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225"/>
      <c r="O414" s="6"/>
      <c r="P414" s="6"/>
      <c r="Q414" s="6"/>
      <c r="R414" s="6"/>
      <c r="S414" s="6"/>
      <c r="T414" s="6"/>
      <c r="U414" s="6"/>
      <c r="V414" s="55"/>
      <c r="W414" s="6"/>
      <c r="X414" s="6"/>
      <c r="Y414" s="6"/>
      <c r="Z414" s="6"/>
      <c r="AA414" s="6"/>
      <c r="AB414" s="6"/>
      <c r="AC414" s="6"/>
    </row>
    <row r="415" spans="1:29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225"/>
      <c r="O415" s="6"/>
      <c r="P415" s="6"/>
      <c r="Q415" s="6"/>
      <c r="R415" s="6"/>
      <c r="S415" s="6"/>
      <c r="T415" s="6"/>
      <c r="U415" s="6"/>
      <c r="V415" s="55"/>
      <c r="W415" s="6"/>
      <c r="X415" s="6"/>
      <c r="Y415" s="6"/>
      <c r="Z415" s="6"/>
      <c r="AA415" s="6"/>
      <c r="AB415" s="6"/>
      <c r="AC415" s="6"/>
    </row>
    <row r="416" spans="1:29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225"/>
      <c r="O416" s="6"/>
      <c r="P416" s="6"/>
      <c r="Q416" s="6"/>
      <c r="R416" s="6"/>
      <c r="S416" s="6"/>
      <c r="T416" s="6"/>
      <c r="U416" s="6"/>
      <c r="V416" s="55"/>
      <c r="W416" s="6"/>
      <c r="X416" s="6"/>
      <c r="Y416" s="6"/>
      <c r="Z416" s="6"/>
      <c r="AA416" s="6"/>
      <c r="AB416" s="6"/>
      <c r="AC416" s="6"/>
    </row>
    <row r="417" spans="1:29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225"/>
      <c r="O417" s="6"/>
      <c r="P417" s="6"/>
      <c r="Q417" s="6"/>
      <c r="R417" s="6"/>
      <c r="S417" s="6"/>
      <c r="T417" s="6"/>
      <c r="U417" s="6"/>
      <c r="V417" s="55"/>
      <c r="W417" s="6"/>
      <c r="X417" s="6"/>
      <c r="Y417" s="6"/>
      <c r="Z417" s="6"/>
      <c r="AA417" s="6"/>
      <c r="AB417" s="6"/>
      <c r="AC417" s="6"/>
    </row>
    <row r="418" spans="1:29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225"/>
      <c r="O418" s="6"/>
      <c r="P418" s="6"/>
      <c r="Q418" s="6"/>
      <c r="R418" s="6"/>
      <c r="S418" s="6"/>
      <c r="T418" s="6"/>
      <c r="U418" s="6"/>
      <c r="V418" s="55"/>
      <c r="W418" s="6"/>
      <c r="X418" s="6"/>
      <c r="Y418" s="6"/>
      <c r="Z418" s="6"/>
      <c r="AA418" s="6"/>
      <c r="AB418" s="6"/>
      <c r="AC418" s="6"/>
    </row>
    <row r="419" spans="1:29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225"/>
      <c r="O419" s="6"/>
      <c r="P419" s="6"/>
      <c r="Q419" s="6"/>
      <c r="R419" s="6"/>
      <c r="S419" s="6"/>
      <c r="T419" s="6"/>
      <c r="U419" s="6"/>
      <c r="V419" s="55"/>
      <c r="W419" s="6"/>
      <c r="X419" s="6"/>
      <c r="Y419" s="6"/>
      <c r="Z419" s="6"/>
      <c r="AA419" s="6"/>
      <c r="AB419" s="6"/>
      <c r="AC419" s="6"/>
    </row>
    <row r="420" spans="1:29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225"/>
      <c r="O420" s="6"/>
      <c r="P420" s="6"/>
      <c r="Q420" s="6"/>
      <c r="R420" s="6"/>
      <c r="S420" s="6"/>
      <c r="T420" s="6"/>
      <c r="U420" s="6"/>
      <c r="V420" s="55"/>
      <c r="W420" s="6"/>
      <c r="X420" s="6"/>
      <c r="Y420" s="6"/>
      <c r="Z420" s="6"/>
      <c r="AA420" s="6"/>
      <c r="AB420" s="6"/>
      <c r="AC420" s="6"/>
    </row>
    <row r="421" spans="1:29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225"/>
      <c r="O421" s="6"/>
      <c r="P421" s="6"/>
      <c r="Q421" s="6"/>
      <c r="R421" s="6"/>
      <c r="S421" s="6"/>
      <c r="T421" s="6"/>
      <c r="U421" s="6"/>
      <c r="V421" s="55"/>
      <c r="W421" s="6"/>
      <c r="X421" s="6"/>
      <c r="Y421" s="6"/>
      <c r="Z421" s="6"/>
      <c r="AA421" s="6"/>
      <c r="AB421" s="6"/>
      <c r="AC421" s="6"/>
    </row>
    <row r="422" spans="1:29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225"/>
      <c r="O422" s="6"/>
      <c r="P422" s="6"/>
      <c r="Q422" s="6"/>
      <c r="R422" s="6"/>
      <c r="S422" s="6"/>
      <c r="T422" s="6"/>
      <c r="U422" s="6"/>
      <c r="V422" s="55"/>
      <c r="W422" s="6"/>
      <c r="X422" s="6"/>
      <c r="Y422" s="6"/>
      <c r="Z422" s="6"/>
      <c r="AA422" s="6"/>
      <c r="AB422" s="6"/>
      <c r="AC422" s="6"/>
    </row>
    <row r="423" spans="1:29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225"/>
      <c r="O423" s="6"/>
      <c r="P423" s="6"/>
      <c r="Q423" s="6"/>
      <c r="R423" s="6"/>
      <c r="S423" s="6"/>
      <c r="T423" s="6"/>
      <c r="U423" s="6"/>
      <c r="V423" s="55"/>
      <c r="W423" s="6"/>
      <c r="X423" s="6"/>
      <c r="Y423" s="6"/>
      <c r="Z423" s="6"/>
      <c r="AA423" s="6"/>
      <c r="AB423" s="6"/>
      <c r="AC423" s="6"/>
    </row>
    <row r="424" spans="1:29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225"/>
      <c r="O424" s="6"/>
      <c r="P424" s="6"/>
      <c r="Q424" s="6"/>
      <c r="R424" s="6"/>
      <c r="S424" s="6"/>
      <c r="T424" s="6"/>
      <c r="U424" s="6"/>
      <c r="V424" s="55"/>
      <c r="W424" s="6"/>
      <c r="X424" s="6"/>
      <c r="Y424" s="6"/>
      <c r="Z424" s="6"/>
      <c r="AA424" s="6"/>
      <c r="AB424" s="6"/>
      <c r="AC424" s="6"/>
    </row>
    <row r="425" spans="1:29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225"/>
      <c r="O425" s="6"/>
      <c r="P425" s="6"/>
      <c r="Q425" s="6"/>
      <c r="R425" s="6"/>
      <c r="S425" s="6"/>
      <c r="T425" s="6"/>
      <c r="U425" s="6"/>
      <c r="V425" s="55"/>
      <c r="W425" s="6"/>
      <c r="X425" s="6"/>
      <c r="Y425" s="6"/>
      <c r="Z425" s="6"/>
      <c r="AA425" s="6"/>
      <c r="AB425" s="6"/>
      <c r="AC425" s="6"/>
    </row>
    <row r="426" spans="1:29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225"/>
      <c r="O426" s="6"/>
      <c r="P426" s="6"/>
      <c r="Q426" s="6"/>
      <c r="R426" s="6"/>
      <c r="S426" s="6"/>
      <c r="T426" s="6"/>
      <c r="U426" s="6"/>
      <c r="V426" s="55"/>
      <c r="W426" s="6"/>
      <c r="X426" s="6"/>
      <c r="Y426" s="6"/>
      <c r="Z426" s="6"/>
      <c r="AA426" s="6"/>
      <c r="AB426" s="6"/>
      <c r="AC426" s="6"/>
    </row>
    <row r="427" spans="1:29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225"/>
      <c r="O427" s="6"/>
      <c r="P427" s="6"/>
      <c r="Q427" s="6"/>
      <c r="R427" s="6"/>
      <c r="S427" s="6"/>
      <c r="T427" s="6"/>
      <c r="U427" s="6"/>
      <c r="V427" s="55"/>
      <c r="W427" s="6"/>
      <c r="X427" s="6"/>
      <c r="Y427" s="6"/>
      <c r="Z427" s="6"/>
      <c r="AA427" s="6"/>
      <c r="AB427" s="6"/>
      <c r="AC427" s="6"/>
    </row>
    <row r="428" spans="1:29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225"/>
      <c r="O428" s="6"/>
      <c r="P428" s="6"/>
      <c r="Q428" s="6"/>
      <c r="R428" s="6"/>
      <c r="S428" s="6"/>
      <c r="T428" s="6"/>
      <c r="U428" s="6"/>
      <c r="V428" s="55"/>
      <c r="W428" s="6"/>
      <c r="X428" s="6"/>
      <c r="Y428" s="6"/>
      <c r="Z428" s="6"/>
      <c r="AA428" s="6"/>
      <c r="AB428" s="6"/>
      <c r="AC428" s="6"/>
    </row>
    <row r="429" spans="1:29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225"/>
      <c r="O429" s="6"/>
      <c r="P429" s="6"/>
      <c r="Q429" s="6"/>
      <c r="R429" s="6"/>
      <c r="S429" s="6"/>
      <c r="T429" s="6"/>
      <c r="U429" s="6"/>
      <c r="V429" s="55"/>
      <c r="W429" s="6"/>
      <c r="X429" s="6"/>
      <c r="Y429" s="6"/>
      <c r="Z429" s="6"/>
      <c r="AA429" s="6"/>
      <c r="AB429" s="6"/>
      <c r="AC429" s="6"/>
    </row>
    <row r="430" spans="1:29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225"/>
      <c r="O430" s="6"/>
      <c r="P430" s="6"/>
      <c r="Q430" s="6"/>
      <c r="R430" s="6"/>
      <c r="S430" s="6"/>
      <c r="T430" s="6"/>
      <c r="U430" s="6"/>
      <c r="V430" s="55"/>
      <c r="W430" s="6"/>
      <c r="X430" s="6"/>
      <c r="Y430" s="6"/>
      <c r="Z430" s="6"/>
      <c r="AA430" s="6"/>
      <c r="AB430" s="6"/>
      <c r="AC430" s="6"/>
    </row>
    <row r="431" spans="1:29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225"/>
      <c r="O431" s="6"/>
      <c r="P431" s="6"/>
      <c r="Q431" s="6"/>
      <c r="R431" s="6"/>
      <c r="S431" s="6"/>
      <c r="T431" s="6"/>
      <c r="U431" s="6"/>
      <c r="V431" s="55"/>
      <c r="W431" s="6"/>
      <c r="X431" s="6"/>
      <c r="Y431" s="6"/>
      <c r="Z431" s="6"/>
      <c r="AA431" s="6"/>
      <c r="AB431" s="6"/>
      <c r="AC431" s="6"/>
    </row>
    <row r="432" spans="1:29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225"/>
      <c r="O432" s="6"/>
      <c r="P432" s="6"/>
      <c r="Q432" s="6"/>
      <c r="R432" s="6"/>
      <c r="S432" s="6"/>
      <c r="T432" s="6"/>
      <c r="U432" s="6"/>
      <c r="V432" s="55"/>
      <c r="W432" s="6"/>
      <c r="X432" s="6"/>
      <c r="Y432" s="6"/>
      <c r="Z432" s="6"/>
      <c r="AA432" s="6"/>
      <c r="AB432" s="6"/>
      <c r="AC432" s="6"/>
    </row>
    <row r="433" spans="1:29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225"/>
      <c r="O433" s="6"/>
      <c r="P433" s="6"/>
      <c r="Q433" s="6"/>
      <c r="R433" s="6"/>
      <c r="S433" s="6"/>
      <c r="T433" s="6"/>
      <c r="U433" s="6"/>
      <c r="V433" s="55"/>
      <c r="W433" s="6"/>
      <c r="X433" s="6"/>
      <c r="Y433" s="6"/>
      <c r="Z433" s="6"/>
      <c r="AA433" s="6"/>
      <c r="AB433" s="6"/>
      <c r="AC433" s="6"/>
    </row>
    <row r="434" spans="1:29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225"/>
      <c r="O434" s="6"/>
      <c r="P434" s="6"/>
      <c r="Q434" s="6"/>
      <c r="R434" s="6"/>
      <c r="S434" s="6"/>
      <c r="T434" s="6"/>
      <c r="U434" s="6"/>
      <c r="V434" s="55"/>
      <c r="W434" s="6"/>
      <c r="X434" s="6"/>
      <c r="Y434" s="6"/>
      <c r="Z434" s="6"/>
      <c r="AA434" s="6"/>
      <c r="AB434" s="6"/>
      <c r="AC434" s="6"/>
    </row>
    <row r="435" spans="1:29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225"/>
      <c r="O435" s="6"/>
      <c r="P435" s="6"/>
      <c r="Q435" s="6"/>
      <c r="R435" s="6"/>
      <c r="S435" s="6"/>
      <c r="T435" s="6"/>
      <c r="U435" s="6"/>
      <c r="V435" s="55"/>
      <c r="W435" s="6"/>
      <c r="X435" s="6"/>
      <c r="Y435" s="6"/>
      <c r="Z435" s="6"/>
      <c r="AA435" s="6"/>
      <c r="AB435" s="6"/>
      <c r="AC435" s="6"/>
    </row>
    <row r="436" spans="1:29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225"/>
      <c r="O436" s="6"/>
      <c r="P436" s="6"/>
      <c r="Q436" s="6"/>
      <c r="R436" s="6"/>
      <c r="S436" s="6"/>
      <c r="T436" s="6"/>
      <c r="U436" s="6"/>
      <c r="V436" s="55"/>
      <c r="W436" s="6"/>
      <c r="X436" s="6"/>
      <c r="Y436" s="6"/>
      <c r="Z436" s="6"/>
      <c r="AA436" s="6"/>
      <c r="AB436" s="6"/>
      <c r="AC436" s="6"/>
    </row>
    <row r="437" spans="1:29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225"/>
      <c r="O437" s="6"/>
      <c r="P437" s="6"/>
      <c r="Q437" s="6"/>
      <c r="R437" s="6"/>
      <c r="S437" s="6"/>
      <c r="T437" s="6"/>
      <c r="U437" s="6"/>
      <c r="V437" s="55"/>
      <c r="W437" s="6"/>
      <c r="X437" s="6"/>
      <c r="Y437" s="6"/>
      <c r="Z437" s="6"/>
      <c r="AA437" s="6"/>
      <c r="AB437" s="6"/>
      <c r="AC437" s="6"/>
    </row>
    <row r="438" spans="1:29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225"/>
      <c r="O438" s="6"/>
      <c r="P438" s="6"/>
      <c r="Q438" s="6"/>
      <c r="R438" s="6"/>
      <c r="S438" s="6"/>
      <c r="T438" s="6"/>
      <c r="U438" s="6"/>
      <c r="V438" s="55"/>
      <c r="W438" s="6"/>
      <c r="X438" s="6"/>
      <c r="Y438" s="6"/>
      <c r="Z438" s="6"/>
      <c r="AA438" s="6"/>
      <c r="AB438" s="6"/>
      <c r="AC438" s="6"/>
    </row>
    <row r="439" spans="1:29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225"/>
      <c r="O439" s="6"/>
      <c r="P439" s="6"/>
      <c r="Q439" s="6"/>
      <c r="R439" s="6"/>
      <c r="S439" s="6"/>
      <c r="T439" s="6"/>
      <c r="U439" s="6"/>
      <c r="V439" s="55"/>
      <c r="W439" s="6"/>
      <c r="X439" s="6"/>
      <c r="Y439" s="6"/>
      <c r="Z439" s="6"/>
      <c r="AA439" s="6"/>
      <c r="AB439" s="6"/>
      <c r="AC439" s="6"/>
    </row>
    <row r="440" spans="1:29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225"/>
      <c r="O440" s="6"/>
      <c r="P440" s="6"/>
      <c r="Q440" s="6"/>
      <c r="R440" s="6"/>
      <c r="S440" s="6"/>
      <c r="T440" s="6"/>
      <c r="U440" s="6"/>
      <c r="V440" s="55"/>
      <c r="W440" s="6"/>
      <c r="X440" s="6"/>
      <c r="Y440" s="6"/>
      <c r="Z440" s="6"/>
      <c r="AA440" s="6"/>
      <c r="AB440" s="6"/>
      <c r="AC440" s="6"/>
    </row>
    <row r="441" spans="1:29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225"/>
      <c r="O441" s="6"/>
      <c r="P441" s="6"/>
      <c r="Q441" s="6"/>
      <c r="R441" s="6"/>
      <c r="S441" s="6"/>
      <c r="T441" s="6"/>
      <c r="U441" s="6"/>
      <c r="V441" s="55"/>
      <c r="W441" s="6"/>
      <c r="X441" s="6"/>
      <c r="Y441" s="6"/>
      <c r="Z441" s="6"/>
      <c r="AA441" s="6"/>
      <c r="AB441" s="6"/>
      <c r="AC441" s="6"/>
    </row>
    <row r="442" spans="1:29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225"/>
      <c r="O442" s="6"/>
      <c r="P442" s="6"/>
      <c r="Q442" s="6"/>
      <c r="R442" s="6"/>
      <c r="S442" s="6"/>
      <c r="T442" s="6"/>
      <c r="U442" s="6"/>
      <c r="V442" s="55"/>
      <c r="W442" s="6"/>
      <c r="X442" s="6"/>
      <c r="Y442" s="6"/>
      <c r="Z442" s="6"/>
      <c r="AA442" s="6"/>
      <c r="AB442" s="6"/>
      <c r="AC442" s="6"/>
    </row>
    <row r="443" spans="1:29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225"/>
      <c r="O443" s="6"/>
      <c r="P443" s="6"/>
      <c r="Q443" s="6"/>
      <c r="R443" s="6"/>
      <c r="S443" s="6"/>
      <c r="T443" s="6"/>
      <c r="U443" s="6"/>
      <c r="V443" s="55"/>
      <c r="W443" s="6"/>
      <c r="X443" s="6"/>
      <c r="Y443" s="6"/>
      <c r="Z443" s="6"/>
      <c r="AA443" s="6"/>
      <c r="AB443" s="6"/>
      <c r="AC443" s="6"/>
    </row>
    <row r="444" spans="1:29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225"/>
      <c r="O444" s="6"/>
      <c r="P444" s="6"/>
      <c r="Q444" s="6"/>
      <c r="R444" s="6"/>
      <c r="S444" s="6"/>
      <c r="T444" s="6"/>
      <c r="U444" s="6"/>
      <c r="V444" s="55"/>
      <c r="W444" s="6"/>
      <c r="X444" s="6"/>
      <c r="Y444" s="6"/>
      <c r="Z444" s="6"/>
      <c r="AA444" s="6"/>
      <c r="AB444" s="6"/>
      <c r="AC444" s="6"/>
    </row>
    <row r="445" spans="1:29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225"/>
      <c r="O445" s="6"/>
      <c r="P445" s="6"/>
      <c r="Q445" s="6"/>
      <c r="R445" s="6"/>
      <c r="S445" s="6"/>
      <c r="T445" s="6"/>
      <c r="U445" s="6"/>
      <c r="V445" s="55"/>
      <c r="W445" s="6"/>
      <c r="X445" s="6"/>
      <c r="Y445" s="6"/>
      <c r="Z445" s="6"/>
      <c r="AA445" s="6"/>
      <c r="AB445" s="6"/>
      <c r="AC445" s="6"/>
    </row>
    <row r="446" spans="1:29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225"/>
      <c r="O446" s="6"/>
      <c r="P446" s="6"/>
      <c r="Q446" s="6"/>
      <c r="R446" s="6"/>
      <c r="S446" s="6"/>
      <c r="T446" s="6"/>
      <c r="U446" s="6"/>
      <c r="V446" s="55"/>
      <c r="W446" s="6"/>
      <c r="X446" s="6"/>
      <c r="Y446" s="6"/>
      <c r="Z446" s="6"/>
      <c r="AA446" s="6"/>
      <c r="AB446" s="6"/>
      <c r="AC446" s="6"/>
    </row>
    <row r="447" spans="1:29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225"/>
      <c r="O447" s="6"/>
      <c r="P447" s="6"/>
      <c r="Q447" s="6"/>
      <c r="R447" s="6"/>
      <c r="S447" s="6"/>
      <c r="T447" s="6"/>
      <c r="U447" s="6"/>
      <c r="V447" s="55"/>
      <c r="W447" s="6"/>
      <c r="X447" s="6"/>
      <c r="Y447" s="6"/>
      <c r="Z447" s="6"/>
      <c r="AA447" s="6"/>
      <c r="AB447" s="6"/>
      <c r="AC447" s="6"/>
    </row>
    <row r="448" spans="1:29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225"/>
      <c r="O448" s="6"/>
      <c r="P448" s="6"/>
      <c r="Q448" s="6"/>
      <c r="R448" s="6"/>
      <c r="S448" s="6"/>
      <c r="T448" s="6"/>
      <c r="U448" s="6"/>
      <c r="V448" s="55"/>
      <c r="W448" s="6"/>
      <c r="X448" s="6"/>
      <c r="Y448" s="6"/>
      <c r="Z448" s="6"/>
      <c r="AA448" s="6"/>
      <c r="AB448" s="6"/>
      <c r="AC448" s="6"/>
    </row>
    <row r="449" spans="1:29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225"/>
      <c r="O449" s="6"/>
      <c r="P449" s="6"/>
      <c r="Q449" s="6"/>
      <c r="R449" s="6"/>
      <c r="S449" s="6"/>
      <c r="T449" s="6"/>
      <c r="U449" s="6"/>
      <c r="V449" s="55"/>
      <c r="W449" s="6"/>
      <c r="X449" s="6"/>
      <c r="Y449" s="6"/>
      <c r="Z449" s="6"/>
      <c r="AA449" s="6"/>
      <c r="AB449" s="6"/>
      <c r="AC449" s="6"/>
    </row>
    <row r="450" spans="1:29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225"/>
      <c r="O450" s="6"/>
      <c r="P450" s="6"/>
      <c r="Q450" s="6"/>
      <c r="R450" s="6"/>
      <c r="S450" s="6"/>
      <c r="T450" s="6"/>
      <c r="U450" s="6"/>
      <c r="V450" s="55"/>
      <c r="W450" s="6"/>
      <c r="X450" s="6"/>
      <c r="Y450" s="6"/>
      <c r="Z450" s="6"/>
      <c r="AA450" s="6"/>
      <c r="AB450" s="6"/>
      <c r="AC450" s="6"/>
    </row>
    <row r="451" spans="1:29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225"/>
      <c r="O451" s="6"/>
      <c r="P451" s="6"/>
      <c r="Q451" s="6"/>
      <c r="R451" s="6"/>
      <c r="S451" s="6"/>
      <c r="T451" s="6"/>
      <c r="U451" s="6"/>
      <c r="V451" s="55"/>
      <c r="W451" s="6"/>
      <c r="X451" s="6"/>
      <c r="Y451" s="6"/>
      <c r="Z451" s="6"/>
      <c r="AA451" s="6"/>
      <c r="AB451" s="6"/>
      <c r="AC451" s="6"/>
    </row>
    <row r="452" spans="1:29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225"/>
      <c r="O452" s="6"/>
      <c r="P452" s="6"/>
      <c r="Q452" s="6"/>
      <c r="R452" s="6"/>
      <c r="S452" s="6"/>
      <c r="T452" s="6"/>
      <c r="U452" s="6"/>
      <c r="V452" s="55"/>
      <c r="W452" s="6"/>
      <c r="X452" s="6"/>
      <c r="Y452" s="6"/>
      <c r="Z452" s="6"/>
      <c r="AA452" s="6"/>
      <c r="AB452" s="6"/>
      <c r="AC452" s="6"/>
    </row>
    <row r="453" spans="1:29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225"/>
      <c r="O453" s="6"/>
      <c r="P453" s="6"/>
      <c r="Q453" s="6"/>
      <c r="R453" s="6"/>
      <c r="S453" s="6"/>
      <c r="T453" s="6"/>
      <c r="U453" s="6"/>
      <c r="V453" s="55"/>
      <c r="W453" s="6"/>
      <c r="X453" s="6"/>
      <c r="Y453" s="6"/>
      <c r="Z453" s="6"/>
      <c r="AA453" s="6"/>
      <c r="AB453" s="6"/>
      <c r="AC453" s="6"/>
    </row>
    <row r="454" spans="1:29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225"/>
      <c r="O454" s="6"/>
      <c r="P454" s="6"/>
      <c r="Q454" s="6"/>
      <c r="R454" s="6"/>
      <c r="S454" s="6"/>
      <c r="T454" s="6"/>
      <c r="U454" s="6"/>
      <c r="V454" s="55"/>
      <c r="W454" s="6"/>
      <c r="X454" s="6"/>
      <c r="Y454" s="6"/>
      <c r="Z454" s="6"/>
      <c r="AA454" s="6"/>
      <c r="AB454" s="6"/>
      <c r="AC454" s="6"/>
    </row>
    <row r="455" spans="1:29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225"/>
      <c r="O455" s="6"/>
      <c r="P455" s="6"/>
      <c r="Q455" s="6"/>
      <c r="R455" s="6"/>
      <c r="S455" s="6"/>
      <c r="T455" s="6"/>
      <c r="U455" s="6"/>
      <c r="V455" s="55"/>
      <c r="W455" s="6"/>
      <c r="X455" s="6"/>
      <c r="Y455" s="6"/>
      <c r="Z455" s="6"/>
      <c r="AA455" s="6"/>
      <c r="AB455" s="6"/>
      <c r="AC455" s="6"/>
    </row>
    <row r="456" spans="1:29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225"/>
      <c r="O456" s="6"/>
      <c r="P456" s="6"/>
      <c r="Q456" s="6"/>
      <c r="R456" s="6"/>
      <c r="S456" s="6"/>
      <c r="T456" s="6"/>
      <c r="U456" s="6"/>
      <c r="V456" s="55"/>
      <c r="W456" s="6"/>
      <c r="X456" s="6"/>
      <c r="Y456" s="6"/>
      <c r="Z456" s="6"/>
      <c r="AA456" s="6"/>
      <c r="AB456" s="6"/>
      <c r="AC456" s="6"/>
    </row>
    <row r="457" spans="1:29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225"/>
      <c r="O457" s="6"/>
      <c r="P457" s="6"/>
      <c r="Q457" s="6"/>
      <c r="R457" s="6"/>
      <c r="S457" s="6"/>
      <c r="T457" s="6"/>
      <c r="U457" s="6"/>
      <c r="V457" s="55"/>
      <c r="W457" s="6"/>
      <c r="X457" s="6"/>
      <c r="Y457" s="6"/>
      <c r="Z457" s="6"/>
      <c r="AA457" s="6"/>
      <c r="AB457" s="6"/>
      <c r="AC457" s="6"/>
    </row>
    <row r="458" spans="1:29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225"/>
      <c r="O458" s="6"/>
      <c r="P458" s="6"/>
      <c r="Q458" s="6"/>
      <c r="R458" s="6"/>
      <c r="S458" s="6"/>
      <c r="T458" s="6"/>
      <c r="U458" s="6"/>
      <c r="V458" s="55"/>
      <c r="W458" s="6"/>
      <c r="X458" s="6"/>
      <c r="Y458" s="6"/>
      <c r="Z458" s="6"/>
      <c r="AA458" s="6"/>
      <c r="AB458" s="6"/>
      <c r="AC458" s="6"/>
    </row>
    <row r="459" spans="1:29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225"/>
      <c r="O459" s="6"/>
      <c r="P459" s="6"/>
      <c r="Q459" s="6"/>
      <c r="R459" s="6"/>
      <c r="S459" s="6"/>
      <c r="T459" s="6"/>
      <c r="U459" s="6"/>
      <c r="V459" s="55"/>
      <c r="W459" s="6"/>
      <c r="X459" s="6"/>
      <c r="Y459" s="6"/>
      <c r="Z459" s="6"/>
      <c r="AA459" s="6"/>
      <c r="AB459" s="6"/>
      <c r="AC459" s="6"/>
    </row>
    <row r="460" spans="1:29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225"/>
      <c r="O460" s="6"/>
      <c r="P460" s="6"/>
      <c r="Q460" s="6"/>
      <c r="R460" s="6"/>
      <c r="S460" s="6"/>
      <c r="T460" s="6"/>
      <c r="U460" s="6"/>
      <c r="V460" s="55"/>
      <c r="W460" s="6"/>
      <c r="X460" s="6"/>
      <c r="Y460" s="6"/>
      <c r="Z460" s="6"/>
      <c r="AA460" s="6"/>
      <c r="AB460" s="6"/>
      <c r="AC460" s="6"/>
    </row>
    <row r="461" spans="1:29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225"/>
      <c r="O461" s="6"/>
      <c r="P461" s="6"/>
      <c r="Q461" s="6"/>
      <c r="R461" s="6"/>
      <c r="S461" s="6"/>
      <c r="T461" s="6"/>
      <c r="U461" s="6"/>
      <c r="V461" s="55"/>
      <c r="W461" s="6"/>
      <c r="X461" s="6"/>
      <c r="Y461" s="6"/>
      <c r="Z461" s="6"/>
      <c r="AA461" s="6"/>
      <c r="AB461" s="6"/>
      <c r="AC461" s="6"/>
    </row>
    <row r="462" spans="1:29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225"/>
      <c r="O462" s="6"/>
      <c r="P462" s="6"/>
      <c r="Q462" s="6"/>
      <c r="R462" s="6"/>
      <c r="S462" s="6"/>
      <c r="T462" s="6"/>
      <c r="U462" s="6"/>
      <c r="V462" s="55"/>
      <c r="W462" s="6"/>
      <c r="X462" s="6"/>
      <c r="Y462" s="6"/>
      <c r="Z462" s="6"/>
      <c r="AA462" s="6"/>
      <c r="AB462" s="6"/>
      <c r="AC462" s="6"/>
    </row>
    <row r="463" spans="1:29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225"/>
      <c r="O463" s="6"/>
      <c r="P463" s="6"/>
      <c r="Q463" s="6"/>
      <c r="R463" s="6"/>
      <c r="S463" s="6"/>
      <c r="T463" s="6"/>
      <c r="U463" s="6"/>
      <c r="V463" s="55"/>
      <c r="W463" s="6"/>
      <c r="X463" s="6"/>
      <c r="Y463" s="6"/>
      <c r="Z463" s="6"/>
      <c r="AA463" s="6"/>
      <c r="AB463" s="6"/>
      <c r="AC463" s="6"/>
    </row>
    <row r="464" spans="1:29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225"/>
      <c r="O464" s="6"/>
      <c r="P464" s="6"/>
      <c r="Q464" s="6"/>
      <c r="R464" s="6"/>
      <c r="S464" s="6"/>
      <c r="T464" s="6"/>
      <c r="U464" s="6"/>
      <c r="V464" s="55"/>
      <c r="W464" s="6"/>
      <c r="X464" s="6"/>
      <c r="Y464" s="6"/>
      <c r="Z464" s="6"/>
      <c r="AA464" s="6"/>
      <c r="AB464" s="6"/>
      <c r="AC464" s="6"/>
    </row>
    <row r="465" spans="1:29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225"/>
      <c r="O465" s="6"/>
      <c r="P465" s="6"/>
      <c r="Q465" s="6"/>
      <c r="R465" s="6"/>
      <c r="S465" s="6"/>
      <c r="T465" s="6"/>
      <c r="U465" s="6"/>
      <c r="V465" s="55"/>
      <c r="W465" s="6"/>
      <c r="X465" s="6"/>
      <c r="Y465" s="6"/>
      <c r="Z465" s="6"/>
      <c r="AA465" s="6"/>
      <c r="AB465" s="6"/>
      <c r="AC465" s="6"/>
    </row>
    <row r="466" spans="1:29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225"/>
      <c r="O466" s="6"/>
      <c r="P466" s="6"/>
      <c r="Q466" s="6"/>
      <c r="R466" s="6"/>
      <c r="S466" s="6"/>
      <c r="T466" s="6"/>
      <c r="U466" s="6"/>
      <c r="V466" s="55"/>
      <c r="W466" s="6"/>
      <c r="X466" s="6"/>
      <c r="Y466" s="6"/>
      <c r="Z466" s="6"/>
      <c r="AA466" s="6"/>
      <c r="AB466" s="6"/>
      <c r="AC466" s="6"/>
    </row>
    <row r="467" spans="1:29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225"/>
      <c r="O467" s="6"/>
      <c r="P467" s="6"/>
      <c r="Q467" s="6"/>
      <c r="R467" s="6"/>
      <c r="S467" s="6"/>
      <c r="T467" s="6"/>
      <c r="U467" s="6"/>
      <c r="V467" s="55"/>
      <c r="W467" s="6"/>
      <c r="X467" s="6"/>
      <c r="Y467" s="6"/>
      <c r="Z467" s="6"/>
      <c r="AA467" s="6"/>
      <c r="AB467" s="6"/>
      <c r="AC467" s="6"/>
    </row>
    <row r="468" spans="1:29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225"/>
      <c r="O468" s="6"/>
      <c r="P468" s="6"/>
      <c r="Q468" s="6"/>
      <c r="R468" s="6"/>
      <c r="S468" s="6"/>
      <c r="T468" s="6"/>
      <c r="U468" s="6"/>
      <c r="V468" s="55"/>
      <c r="W468" s="6"/>
      <c r="X468" s="6"/>
      <c r="Y468" s="6"/>
      <c r="Z468" s="6"/>
      <c r="AA468" s="6"/>
      <c r="AB468" s="6"/>
      <c r="AC468" s="6"/>
    </row>
    <row r="469" spans="1:29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225"/>
      <c r="O469" s="6"/>
      <c r="P469" s="6"/>
      <c r="Q469" s="6"/>
      <c r="R469" s="6"/>
      <c r="S469" s="6"/>
      <c r="T469" s="6"/>
      <c r="U469" s="6"/>
      <c r="V469" s="55"/>
      <c r="W469" s="6"/>
      <c r="X469" s="6"/>
      <c r="Y469" s="6"/>
      <c r="Z469" s="6"/>
      <c r="AA469" s="6"/>
      <c r="AB469" s="6"/>
      <c r="AC469" s="6"/>
    </row>
    <row r="470" spans="1:29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225"/>
      <c r="O470" s="6"/>
      <c r="P470" s="6"/>
      <c r="Q470" s="6"/>
      <c r="R470" s="6"/>
      <c r="S470" s="6"/>
      <c r="T470" s="6"/>
      <c r="U470" s="6"/>
      <c r="V470" s="55"/>
      <c r="W470" s="6"/>
      <c r="X470" s="6"/>
      <c r="Y470" s="6"/>
      <c r="Z470" s="6"/>
      <c r="AA470" s="6"/>
      <c r="AB470" s="6"/>
      <c r="AC470" s="6"/>
    </row>
    <row r="471" spans="1:29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225"/>
      <c r="O471" s="6"/>
      <c r="P471" s="6"/>
      <c r="Q471" s="6"/>
      <c r="R471" s="6"/>
      <c r="S471" s="6"/>
      <c r="T471" s="6"/>
      <c r="U471" s="6"/>
      <c r="V471" s="55"/>
      <c r="W471" s="6"/>
      <c r="X471" s="6"/>
      <c r="Y471" s="6"/>
      <c r="Z471" s="6"/>
      <c r="AA471" s="6"/>
      <c r="AB471" s="6"/>
      <c r="AC471" s="6"/>
    </row>
    <row r="472" spans="1:29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225"/>
      <c r="O472" s="6"/>
      <c r="P472" s="6"/>
      <c r="Q472" s="6"/>
      <c r="R472" s="6"/>
      <c r="S472" s="6"/>
      <c r="T472" s="6"/>
      <c r="U472" s="6"/>
      <c r="V472" s="55"/>
      <c r="W472" s="6"/>
      <c r="X472" s="6"/>
      <c r="Y472" s="6"/>
      <c r="Z472" s="6"/>
      <c r="AA472" s="6"/>
      <c r="AB472" s="6"/>
      <c r="AC472" s="6"/>
    </row>
    <row r="473" spans="1:29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225"/>
      <c r="O473" s="6"/>
      <c r="P473" s="6"/>
      <c r="Q473" s="6"/>
      <c r="R473" s="6"/>
      <c r="S473" s="6"/>
      <c r="T473" s="6"/>
      <c r="U473" s="6"/>
      <c r="V473" s="55"/>
      <c r="W473" s="6"/>
      <c r="X473" s="6"/>
      <c r="Y473" s="6"/>
      <c r="Z473" s="6"/>
      <c r="AA473" s="6"/>
      <c r="AB473" s="6"/>
      <c r="AC473" s="6"/>
    </row>
    <row r="474" spans="1:29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225"/>
      <c r="O474" s="6"/>
      <c r="P474" s="6"/>
      <c r="Q474" s="6"/>
      <c r="R474" s="6"/>
      <c r="S474" s="6"/>
      <c r="T474" s="6"/>
      <c r="U474" s="6"/>
      <c r="V474" s="55"/>
      <c r="W474" s="6"/>
      <c r="X474" s="6"/>
      <c r="Y474" s="6"/>
      <c r="Z474" s="6"/>
      <c r="AA474" s="6"/>
      <c r="AB474" s="6"/>
      <c r="AC474" s="6"/>
    </row>
    <row r="475" spans="1:29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225"/>
      <c r="O475" s="6"/>
      <c r="P475" s="6"/>
      <c r="Q475" s="6"/>
      <c r="R475" s="6"/>
      <c r="S475" s="6"/>
      <c r="T475" s="6"/>
      <c r="U475" s="6"/>
      <c r="V475" s="55"/>
      <c r="W475" s="6"/>
      <c r="X475" s="6"/>
      <c r="Y475" s="6"/>
      <c r="Z475" s="6"/>
      <c r="AA475" s="6"/>
      <c r="AB475" s="6"/>
      <c r="AC475" s="6"/>
    </row>
    <row r="476" spans="1:29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225"/>
      <c r="O476" s="6"/>
      <c r="P476" s="6"/>
      <c r="Q476" s="6"/>
      <c r="R476" s="6"/>
      <c r="S476" s="6"/>
      <c r="T476" s="6"/>
      <c r="U476" s="6"/>
      <c r="V476" s="55"/>
      <c r="W476" s="6"/>
      <c r="X476" s="6"/>
      <c r="Y476" s="6"/>
      <c r="Z476" s="6"/>
      <c r="AA476" s="6"/>
      <c r="AB476" s="6"/>
      <c r="AC476" s="6"/>
    </row>
    <row r="477" spans="1:29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225"/>
      <c r="O477" s="6"/>
      <c r="P477" s="6"/>
      <c r="Q477" s="6"/>
      <c r="R477" s="6"/>
      <c r="S477" s="6"/>
      <c r="T477" s="6"/>
      <c r="U477" s="6"/>
      <c r="V477" s="55"/>
      <c r="W477" s="6"/>
      <c r="X477" s="6"/>
      <c r="Y477" s="6"/>
      <c r="Z477" s="6"/>
      <c r="AA477" s="6"/>
      <c r="AB477" s="6"/>
      <c r="AC477" s="6"/>
    </row>
    <row r="478" spans="1:29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225"/>
      <c r="O478" s="6"/>
      <c r="P478" s="6"/>
      <c r="Q478" s="6"/>
      <c r="R478" s="6"/>
      <c r="S478" s="6"/>
      <c r="T478" s="6"/>
      <c r="U478" s="6"/>
      <c r="V478" s="55"/>
      <c r="W478" s="6"/>
      <c r="X478" s="6"/>
      <c r="Y478" s="6"/>
      <c r="Z478" s="6"/>
      <c r="AA478" s="6"/>
      <c r="AB478" s="6"/>
      <c r="AC478" s="6"/>
    </row>
    <row r="479" spans="1:29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225"/>
      <c r="O479" s="6"/>
      <c r="P479" s="6"/>
      <c r="Q479" s="6"/>
      <c r="R479" s="6"/>
      <c r="S479" s="6"/>
      <c r="T479" s="6"/>
      <c r="U479" s="6"/>
      <c r="V479" s="55"/>
      <c r="W479" s="6"/>
      <c r="X479" s="6"/>
      <c r="Y479" s="6"/>
      <c r="Z479" s="6"/>
      <c r="AA479" s="6"/>
      <c r="AB479" s="6"/>
      <c r="AC479" s="6"/>
    </row>
    <row r="480" spans="1:29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225"/>
      <c r="O480" s="6"/>
      <c r="P480" s="6"/>
      <c r="Q480" s="6"/>
      <c r="R480" s="6"/>
      <c r="S480" s="6"/>
      <c r="T480" s="6"/>
      <c r="U480" s="6"/>
      <c r="V480" s="55"/>
      <c r="W480" s="6"/>
      <c r="X480" s="6"/>
      <c r="Y480" s="6"/>
      <c r="Z480" s="6"/>
      <c r="AA480" s="6"/>
      <c r="AB480" s="6"/>
      <c r="AC480" s="6"/>
    </row>
    <row r="481" spans="1:29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225"/>
      <c r="O481" s="6"/>
      <c r="P481" s="6"/>
      <c r="Q481" s="6"/>
      <c r="R481" s="6"/>
      <c r="S481" s="6"/>
      <c r="T481" s="6"/>
      <c r="U481" s="6"/>
      <c r="V481" s="55"/>
      <c r="W481" s="6"/>
      <c r="X481" s="6"/>
      <c r="Y481" s="6"/>
      <c r="Z481" s="6"/>
      <c r="AA481" s="6"/>
      <c r="AB481" s="6"/>
      <c r="AC481" s="6"/>
    </row>
    <row r="482" spans="1:29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225"/>
      <c r="O482" s="6"/>
      <c r="P482" s="6"/>
      <c r="Q482" s="6"/>
      <c r="R482" s="6"/>
      <c r="S482" s="6"/>
      <c r="T482" s="6"/>
      <c r="U482" s="6"/>
      <c r="V482" s="55"/>
      <c r="W482" s="6"/>
      <c r="X482" s="6"/>
      <c r="Y482" s="6"/>
      <c r="Z482" s="6"/>
      <c r="AA482" s="6"/>
      <c r="AB482" s="6"/>
      <c r="AC482" s="6"/>
    </row>
    <row r="483" spans="1:29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225"/>
      <c r="O483" s="6"/>
      <c r="P483" s="6"/>
      <c r="Q483" s="6"/>
      <c r="R483" s="6"/>
      <c r="S483" s="6"/>
      <c r="T483" s="6"/>
      <c r="U483" s="6"/>
      <c r="V483" s="55"/>
      <c r="W483" s="6"/>
      <c r="X483" s="6"/>
      <c r="Y483" s="6"/>
      <c r="Z483" s="6"/>
      <c r="AA483" s="6"/>
      <c r="AB483" s="6"/>
      <c r="AC483" s="6"/>
    </row>
    <row r="484" spans="1:29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225"/>
      <c r="O484" s="6"/>
      <c r="P484" s="6"/>
      <c r="Q484" s="6"/>
      <c r="R484" s="6"/>
      <c r="S484" s="6"/>
      <c r="T484" s="6"/>
      <c r="U484" s="6"/>
      <c r="V484" s="55"/>
      <c r="W484" s="6"/>
      <c r="X484" s="6"/>
      <c r="Y484" s="6"/>
      <c r="Z484" s="6"/>
      <c r="AA484" s="6"/>
      <c r="AB484" s="6"/>
      <c r="AC484" s="6"/>
    </row>
    <row r="485" spans="1:29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225"/>
      <c r="O485" s="6"/>
      <c r="P485" s="6"/>
      <c r="Q485" s="6"/>
      <c r="R485" s="6"/>
      <c r="S485" s="6"/>
      <c r="T485" s="6"/>
      <c r="U485" s="6"/>
      <c r="V485" s="55"/>
      <c r="W485" s="6"/>
      <c r="X485" s="6"/>
      <c r="Y485" s="6"/>
      <c r="Z485" s="6"/>
      <c r="AA485" s="6"/>
      <c r="AB485" s="6"/>
      <c r="AC485" s="6"/>
    </row>
    <row r="486" spans="1:29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225"/>
      <c r="O486" s="6"/>
      <c r="P486" s="6"/>
      <c r="Q486" s="6"/>
      <c r="R486" s="6"/>
      <c r="S486" s="6"/>
      <c r="T486" s="6"/>
      <c r="U486" s="6"/>
      <c r="V486" s="55"/>
      <c r="W486" s="6"/>
      <c r="X486" s="6"/>
      <c r="Y486" s="6"/>
      <c r="Z486" s="6"/>
      <c r="AA486" s="6"/>
      <c r="AB486" s="6"/>
      <c r="AC486" s="6"/>
    </row>
    <row r="487" spans="1:29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225"/>
      <c r="O487" s="6"/>
      <c r="P487" s="6"/>
      <c r="Q487" s="6"/>
      <c r="R487" s="6"/>
      <c r="S487" s="6"/>
      <c r="T487" s="6"/>
      <c r="U487" s="6"/>
      <c r="V487" s="55"/>
      <c r="W487" s="6"/>
      <c r="X487" s="6"/>
      <c r="Y487" s="6"/>
      <c r="Z487" s="6"/>
      <c r="AA487" s="6"/>
      <c r="AB487" s="6"/>
      <c r="AC487" s="6"/>
    </row>
    <row r="488" spans="1:29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225"/>
      <c r="O488" s="6"/>
      <c r="P488" s="6"/>
      <c r="Q488" s="6"/>
      <c r="R488" s="6"/>
      <c r="S488" s="6"/>
      <c r="T488" s="6"/>
      <c r="U488" s="6"/>
      <c r="V488" s="55"/>
      <c r="W488" s="6"/>
      <c r="X488" s="6"/>
      <c r="Y488" s="6"/>
      <c r="Z488" s="6"/>
      <c r="AA488" s="6"/>
      <c r="AB488" s="6"/>
      <c r="AC488" s="6"/>
    </row>
    <row r="489" spans="1:29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225"/>
      <c r="O489" s="6"/>
      <c r="P489" s="6"/>
      <c r="Q489" s="6"/>
      <c r="R489" s="6"/>
      <c r="S489" s="6"/>
      <c r="T489" s="6"/>
      <c r="U489" s="6"/>
      <c r="V489" s="55"/>
      <c r="W489" s="6"/>
      <c r="X489" s="6"/>
      <c r="Y489" s="6"/>
      <c r="Z489" s="6"/>
      <c r="AA489" s="6"/>
      <c r="AB489" s="6"/>
      <c r="AC489" s="6"/>
    </row>
    <row r="490" spans="1:29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225"/>
      <c r="O490" s="6"/>
      <c r="P490" s="6"/>
      <c r="Q490" s="6"/>
      <c r="R490" s="6"/>
      <c r="S490" s="6"/>
      <c r="T490" s="6"/>
      <c r="U490" s="6"/>
      <c r="V490" s="55"/>
      <c r="W490" s="6"/>
      <c r="X490" s="6"/>
      <c r="Y490" s="6"/>
      <c r="Z490" s="6"/>
      <c r="AA490" s="6"/>
      <c r="AB490" s="6"/>
      <c r="AC490" s="6"/>
    </row>
    <row r="491" spans="1:29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225"/>
      <c r="O491" s="6"/>
      <c r="P491" s="6"/>
      <c r="Q491" s="6"/>
      <c r="R491" s="6"/>
      <c r="S491" s="6"/>
      <c r="T491" s="6"/>
      <c r="U491" s="6"/>
      <c r="V491" s="55"/>
      <c r="W491" s="6"/>
      <c r="X491" s="6"/>
      <c r="Y491" s="6"/>
      <c r="Z491" s="6"/>
      <c r="AA491" s="6"/>
      <c r="AB491" s="6"/>
      <c r="AC491" s="6"/>
    </row>
    <row r="492" spans="1:29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225"/>
      <c r="O492" s="6"/>
      <c r="P492" s="6"/>
      <c r="Q492" s="6"/>
      <c r="R492" s="6"/>
      <c r="S492" s="6"/>
      <c r="T492" s="6"/>
      <c r="U492" s="6"/>
      <c r="V492" s="55"/>
      <c r="W492" s="6"/>
      <c r="X492" s="6"/>
      <c r="Y492" s="6"/>
      <c r="Z492" s="6"/>
      <c r="AA492" s="6"/>
      <c r="AB492" s="6"/>
      <c r="AC492" s="6"/>
    </row>
    <row r="493" spans="1:29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225"/>
      <c r="O493" s="6"/>
      <c r="P493" s="6"/>
      <c r="Q493" s="6"/>
      <c r="R493" s="6"/>
      <c r="S493" s="6"/>
      <c r="T493" s="6"/>
      <c r="U493" s="6"/>
      <c r="V493" s="55"/>
      <c r="W493" s="6"/>
      <c r="X493" s="6"/>
      <c r="Y493" s="6"/>
      <c r="Z493" s="6"/>
      <c r="AA493" s="6"/>
      <c r="AB493" s="6"/>
      <c r="AC493" s="6"/>
    </row>
    <row r="494" spans="1:29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225"/>
      <c r="O494" s="6"/>
      <c r="P494" s="6"/>
      <c r="Q494" s="6"/>
      <c r="R494" s="6"/>
      <c r="S494" s="6"/>
      <c r="T494" s="6"/>
      <c r="U494" s="6"/>
      <c r="V494" s="55"/>
      <c r="W494" s="6"/>
      <c r="X494" s="6"/>
      <c r="Y494" s="6"/>
      <c r="Z494" s="6"/>
      <c r="AA494" s="6"/>
      <c r="AB494" s="6"/>
      <c r="AC494" s="6"/>
    </row>
    <row r="495" spans="1:29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225"/>
      <c r="O495" s="6"/>
      <c r="P495" s="6"/>
      <c r="Q495" s="6"/>
      <c r="R495" s="6"/>
      <c r="S495" s="6"/>
      <c r="T495" s="6"/>
      <c r="U495" s="6"/>
      <c r="V495" s="55"/>
      <c r="W495" s="6"/>
      <c r="X495" s="6"/>
      <c r="Y495" s="6"/>
      <c r="Z495" s="6"/>
      <c r="AA495" s="6"/>
      <c r="AB495" s="6"/>
      <c r="AC495" s="6"/>
    </row>
    <row r="496" spans="1:29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225"/>
      <c r="O496" s="6"/>
      <c r="P496" s="6"/>
      <c r="Q496" s="6"/>
      <c r="R496" s="6"/>
      <c r="S496" s="6"/>
      <c r="T496" s="6"/>
      <c r="U496" s="6"/>
      <c r="V496" s="55"/>
      <c r="W496" s="6"/>
      <c r="X496" s="6"/>
      <c r="Y496" s="6"/>
      <c r="Z496" s="6"/>
      <c r="AA496" s="6"/>
      <c r="AB496" s="6"/>
      <c r="AC496" s="6"/>
    </row>
    <row r="497" spans="1:29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225"/>
      <c r="O497" s="6"/>
      <c r="P497" s="6"/>
      <c r="Q497" s="6"/>
      <c r="R497" s="6"/>
      <c r="S497" s="6"/>
      <c r="T497" s="6"/>
      <c r="U497" s="6"/>
      <c r="V497" s="55"/>
      <c r="W497" s="6"/>
      <c r="X497" s="6"/>
      <c r="Y497" s="6"/>
      <c r="Z497" s="6"/>
      <c r="AA497" s="6"/>
      <c r="AB497" s="6"/>
      <c r="AC497" s="6"/>
    </row>
    <row r="498" spans="1:29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225"/>
      <c r="O498" s="6"/>
      <c r="P498" s="6"/>
      <c r="Q498" s="6"/>
      <c r="R498" s="6"/>
      <c r="S498" s="6"/>
      <c r="T498" s="6"/>
      <c r="U498" s="6"/>
      <c r="V498" s="55"/>
      <c r="W498" s="6"/>
      <c r="X498" s="6"/>
      <c r="Y498" s="6"/>
      <c r="Z498" s="6"/>
      <c r="AA498" s="6"/>
      <c r="AB498" s="6"/>
      <c r="AC498" s="6"/>
    </row>
    <row r="499" spans="1:29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225"/>
      <c r="O499" s="6"/>
      <c r="P499" s="6"/>
      <c r="Q499" s="6"/>
      <c r="R499" s="6"/>
      <c r="S499" s="6"/>
      <c r="T499" s="6"/>
      <c r="U499" s="6"/>
      <c r="V499" s="55"/>
      <c r="W499" s="6"/>
      <c r="X499" s="6"/>
      <c r="Y499" s="6"/>
      <c r="Z499" s="6"/>
      <c r="AA499" s="6"/>
      <c r="AB499" s="6"/>
      <c r="AC499" s="6"/>
    </row>
    <row r="500" spans="1:29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225"/>
      <c r="O500" s="6"/>
      <c r="P500" s="6"/>
      <c r="Q500" s="6"/>
      <c r="R500" s="6"/>
      <c r="S500" s="6"/>
      <c r="T500" s="6"/>
      <c r="U500" s="6"/>
      <c r="V500" s="55"/>
      <c r="W500" s="6"/>
      <c r="X500" s="6"/>
      <c r="Y500" s="6"/>
      <c r="Z500" s="6"/>
      <c r="AA500" s="6"/>
      <c r="AB500" s="6"/>
      <c r="AC500" s="6"/>
    </row>
    <row r="501" spans="1:29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225"/>
      <c r="O501" s="6"/>
      <c r="P501" s="6"/>
      <c r="Q501" s="6"/>
      <c r="R501" s="6"/>
      <c r="S501" s="6"/>
      <c r="T501" s="6"/>
      <c r="U501" s="6"/>
      <c r="V501" s="55"/>
      <c r="W501" s="6"/>
      <c r="X501" s="6"/>
      <c r="Y501" s="6"/>
      <c r="Z501" s="6"/>
      <c r="AA501" s="6"/>
      <c r="AB501" s="6"/>
      <c r="AC501" s="6"/>
    </row>
    <row r="502" spans="1:29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225"/>
      <c r="O502" s="6"/>
      <c r="P502" s="6"/>
      <c r="Q502" s="6"/>
      <c r="R502" s="6"/>
      <c r="S502" s="6"/>
      <c r="T502" s="6"/>
      <c r="U502" s="6"/>
      <c r="V502" s="55"/>
      <c r="W502" s="6"/>
      <c r="X502" s="6"/>
      <c r="Y502" s="6"/>
      <c r="Z502" s="6"/>
      <c r="AA502" s="6"/>
      <c r="AB502" s="6"/>
      <c r="AC502" s="6"/>
    </row>
    <row r="503" spans="1:29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225"/>
      <c r="O503" s="6"/>
      <c r="P503" s="6"/>
      <c r="Q503" s="6"/>
      <c r="R503" s="6"/>
      <c r="S503" s="6"/>
      <c r="T503" s="6"/>
      <c r="U503" s="6"/>
      <c r="V503" s="55"/>
      <c r="W503" s="6"/>
      <c r="X503" s="6"/>
      <c r="Y503" s="6"/>
      <c r="Z503" s="6"/>
      <c r="AA503" s="6"/>
      <c r="AB503" s="6"/>
      <c r="AC503" s="6"/>
    </row>
    <row r="504" spans="1:29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225"/>
      <c r="O504" s="6"/>
      <c r="P504" s="6"/>
      <c r="Q504" s="6"/>
      <c r="R504" s="6"/>
      <c r="S504" s="6"/>
      <c r="T504" s="6"/>
      <c r="U504" s="6"/>
      <c r="V504" s="55"/>
      <c r="W504" s="6"/>
      <c r="X504" s="6"/>
      <c r="Y504" s="6"/>
      <c r="Z504" s="6"/>
      <c r="AA504" s="6"/>
      <c r="AB504" s="6"/>
      <c r="AC504" s="6"/>
    </row>
    <row r="505" spans="1:29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225"/>
      <c r="O505" s="6"/>
      <c r="P505" s="6"/>
      <c r="Q505" s="6"/>
      <c r="R505" s="6"/>
      <c r="S505" s="6"/>
      <c r="T505" s="6"/>
      <c r="U505" s="6"/>
      <c r="V505" s="55"/>
      <c r="W505" s="6"/>
      <c r="X505" s="6"/>
      <c r="Y505" s="6"/>
      <c r="Z505" s="6"/>
      <c r="AA505" s="6"/>
      <c r="AB505" s="6"/>
      <c r="AC505" s="6"/>
    </row>
    <row r="506" spans="1:29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225"/>
      <c r="O506" s="6"/>
      <c r="P506" s="6"/>
      <c r="Q506" s="6"/>
      <c r="R506" s="6"/>
      <c r="S506" s="6"/>
      <c r="T506" s="6"/>
      <c r="U506" s="6"/>
      <c r="V506" s="55"/>
      <c r="W506" s="6"/>
      <c r="X506" s="6"/>
      <c r="Y506" s="6"/>
      <c r="Z506" s="6"/>
      <c r="AA506" s="6"/>
      <c r="AB506" s="6"/>
      <c r="AC506" s="6"/>
    </row>
    <row r="507" spans="1:29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225"/>
      <c r="O507" s="6"/>
      <c r="P507" s="6"/>
      <c r="Q507" s="6"/>
      <c r="R507" s="6"/>
      <c r="S507" s="6"/>
      <c r="T507" s="6"/>
      <c r="U507" s="6"/>
      <c r="V507" s="55"/>
      <c r="W507" s="6"/>
      <c r="X507" s="6"/>
      <c r="Y507" s="6"/>
      <c r="Z507" s="6"/>
      <c r="AA507" s="6"/>
      <c r="AB507" s="6"/>
      <c r="AC507" s="6"/>
    </row>
    <row r="508" spans="1:29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225"/>
      <c r="O508" s="6"/>
      <c r="P508" s="6"/>
      <c r="Q508" s="6"/>
      <c r="R508" s="6"/>
      <c r="S508" s="6"/>
      <c r="T508" s="6"/>
      <c r="U508" s="6"/>
      <c r="V508" s="55"/>
      <c r="W508" s="6"/>
      <c r="X508" s="6"/>
      <c r="Y508" s="6"/>
      <c r="Z508" s="6"/>
      <c r="AA508" s="6"/>
      <c r="AB508" s="6"/>
      <c r="AC508" s="6"/>
    </row>
    <row r="509" spans="1:29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225"/>
      <c r="O509" s="6"/>
      <c r="P509" s="6"/>
      <c r="Q509" s="6"/>
      <c r="R509" s="6"/>
      <c r="S509" s="6"/>
      <c r="T509" s="6"/>
      <c r="U509" s="6"/>
      <c r="V509" s="55"/>
      <c r="W509" s="6"/>
      <c r="X509" s="6"/>
      <c r="Y509" s="6"/>
      <c r="Z509" s="6"/>
      <c r="AA509" s="6"/>
      <c r="AB509" s="6"/>
      <c r="AC509" s="6"/>
    </row>
    <row r="510" spans="1:29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225"/>
      <c r="O510" s="6"/>
      <c r="P510" s="6"/>
      <c r="Q510" s="6"/>
      <c r="R510" s="6"/>
      <c r="S510" s="6"/>
      <c r="T510" s="6"/>
      <c r="U510" s="6"/>
      <c r="V510" s="55"/>
      <c r="W510" s="6"/>
      <c r="X510" s="6"/>
      <c r="Y510" s="6"/>
      <c r="Z510" s="6"/>
      <c r="AA510" s="6"/>
      <c r="AB510" s="6"/>
      <c r="AC510" s="6"/>
    </row>
    <row r="511" spans="1:29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225"/>
      <c r="O511" s="6"/>
      <c r="P511" s="6"/>
      <c r="Q511" s="6"/>
      <c r="R511" s="6"/>
      <c r="S511" s="6"/>
      <c r="T511" s="6"/>
      <c r="U511" s="6"/>
      <c r="V511" s="55"/>
      <c r="W511" s="6"/>
      <c r="X511" s="6"/>
      <c r="Y511" s="6"/>
      <c r="Z511" s="6"/>
      <c r="AA511" s="6"/>
      <c r="AB511" s="6"/>
      <c r="AC511" s="6"/>
    </row>
    <row r="512" spans="1:29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225"/>
      <c r="O512" s="6"/>
      <c r="P512" s="6"/>
      <c r="Q512" s="6"/>
      <c r="R512" s="6"/>
      <c r="S512" s="6"/>
      <c r="T512" s="6"/>
      <c r="U512" s="6"/>
      <c r="V512" s="55"/>
      <c r="W512" s="6"/>
      <c r="X512" s="6"/>
      <c r="Y512" s="6"/>
      <c r="Z512" s="6"/>
      <c r="AA512" s="6"/>
      <c r="AB512" s="6"/>
      <c r="AC512" s="6"/>
    </row>
    <row r="513" spans="1:29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225"/>
      <c r="O513" s="6"/>
      <c r="P513" s="6"/>
      <c r="Q513" s="6"/>
      <c r="R513" s="6"/>
      <c r="S513" s="6"/>
      <c r="T513" s="6"/>
      <c r="U513" s="6"/>
      <c r="V513" s="55"/>
      <c r="W513" s="6"/>
      <c r="X513" s="6"/>
      <c r="Y513" s="6"/>
      <c r="Z513" s="6"/>
      <c r="AA513" s="6"/>
      <c r="AB513" s="6"/>
      <c r="AC513" s="6"/>
    </row>
    <row r="514" spans="1:29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225"/>
      <c r="O514" s="6"/>
      <c r="P514" s="6"/>
      <c r="Q514" s="6"/>
      <c r="R514" s="6"/>
      <c r="S514" s="6"/>
      <c r="T514" s="6"/>
      <c r="U514" s="6"/>
      <c r="V514" s="55"/>
      <c r="W514" s="6"/>
      <c r="X514" s="6"/>
      <c r="Y514" s="6"/>
      <c r="Z514" s="6"/>
      <c r="AA514" s="6"/>
      <c r="AB514" s="6"/>
      <c r="AC514" s="6"/>
    </row>
    <row r="515" spans="1:29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225"/>
      <c r="O515" s="6"/>
      <c r="P515" s="6"/>
      <c r="Q515" s="6"/>
      <c r="R515" s="6"/>
      <c r="S515" s="6"/>
      <c r="T515" s="6"/>
      <c r="U515" s="6"/>
      <c r="V515" s="55"/>
      <c r="W515" s="6"/>
      <c r="X515" s="6"/>
      <c r="Y515" s="6"/>
      <c r="Z515" s="6"/>
      <c r="AA515" s="6"/>
      <c r="AB515" s="6"/>
      <c r="AC515" s="6"/>
    </row>
    <row r="516" spans="1:29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225"/>
      <c r="O516" s="6"/>
      <c r="P516" s="6"/>
      <c r="Q516" s="6"/>
      <c r="R516" s="6"/>
      <c r="S516" s="6"/>
      <c r="T516" s="6"/>
      <c r="U516" s="6"/>
      <c r="V516" s="55"/>
      <c r="W516" s="6"/>
      <c r="X516" s="6"/>
      <c r="Y516" s="6"/>
      <c r="Z516" s="6"/>
      <c r="AA516" s="6"/>
      <c r="AB516" s="6"/>
      <c r="AC516" s="6"/>
    </row>
    <row r="517" spans="1:29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225"/>
      <c r="O517" s="6"/>
      <c r="P517" s="6"/>
      <c r="Q517" s="6"/>
      <c r="R517" s="6"/>
      <c r="S517" s="6"/>
      <c r="T517" s="6"/>
      <c r="U517" s="6"/>
      <c r="V517" s="55"/>
      <c r="W517" s="6"/>
      <c r="X517" s="6"/>
      <c r="Y517" s="6"/>
      <c r="Z517" s="6"/>
      <c r="AA517" s="6"/>
      <c r="AB517" s="6"/>
      <c r="AC517" s="6"/>
    </row>
    <row r="518" spans="1:29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225"/>
      <c r="O518" s="6"/>
      <c r="P518" s="6"/>
      <c r="Q518" s="6"/>
      <c r="R518" s="6"/>
      <c r="S518" s="6"/>
      <c r="T518" s="6"/>
      <c r="U518" s="6"/>
      <c r="V518" s="55"/>
      <c r="W518" s="6"/>
      <c r="X518" s="6"/>
      <c r="Y518" s="6"/>
      <c r="Z518" s="6"/>
      <c r="AA518" s="6"/>
      <c r="AB518" s="6"/>
      <c r="AC518" s="6"/>
    </row>
    <row r="519" spans="1:29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225"/>
      <c r="O519" s="6"/>
      <c r="P519" s="6"/>
      <c r="Q519" s="6"/>
      <c r="R519" s="6"/>
      <c r="S519" s="6"/>
      <c r="T519" s="6"/>
      <c r="U519" s="6"/>
      <c r="V519" s="55"/>
      <c r="W519" s="6"/>
      <c r="X519" s="6"/>
      <c r="Y519" s="6"/>
      <c r="Z519" s="6"/>
      <c r="AA519" s="6"/>
      <c r="AB519" s="6"/>
      <c r="AC519" s="6"/>
    </row>
    <row r="520" spans="1:29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225"/>
      <c r="O520" s="6"/>
      <c r="P520" s="6"/>
      <c r="Q520" s="6"/>
      <c r="R520" s="6"/>
      <c r="S520" s="6"/>
      <c r="T520" s="6"/>
      <c r="U520" s="6"/>
      <c r="V520" s="55"/>
      <c r="W520" s="6"/>
      <c r="X520" s="6"/>
      <c r="Y520" s="6"/>
      <c r="Z520" s="6"/>
      <c r="AA520" s="6"/>
      <c r="AB520" s="6"/>
      <c r="AC520" s="6"/>
    </row>
    <row r="521" spans="1:29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225"/>
      <c r="O521" s="6"/>
      <c r="P521" s="6"/>
      <c r="Q521" s="6"/>
      <c r="R521" s="6"/>
      <c r="S521" s="6"/>
      <c r="T521" s="6"/>
      <c r="U521" s="6"/>
      <c r="V521" s="55"/>
      <c r="W521" s="6"/>
      <c r="X521" s="6"/>
      <c r="Y521" s="6"/>
      <c r="Z521" s="6"/>
      <c r="AA521" s="6"/>
      <c r="AB521" s="6"/>
      <c r="AC521" s="6"/>
    </row>
    <row r="522" spans="1:29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225"/>
      <c r="O522" s="6"/>
      <c r="P522" s="6"/>
      <c r="Q522" s="6"/>
      <c r="R522" s="6"/>
      <c r="S522" s="6"/>
      <c r="T522" s="6"/>
      <c r="U522" s="6"/>
      <c r="V522" s="55"/>
      <c r="W522" s="6"/>
      <c r="X522" s="6"/>
      <c r="Y522" s="6"/>
      <c r="Z522" s="6"/>
      <c r="AA522" s="6"/>
      <c r="AB522" s="6"/>
      <c r="AC522" s="6"/>
    </row>
    <row r="523" spans="1:29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225"/>
      <c r="O523" s="6"/>
      <c r="P523" s="6"/>
      <c r="Q523" s="6"/>
      <c r="R523" s="6"/>
      <c r="S523" s="6"/>
      <c r="T523" s="6"/>
      <c r="U523" s="6"/>
      <c r="V523" s="55"/>
      <c r="W523" s="6"/>
      <c r="X523" s="6"/>
      <c r="Y523" s="6"/>
      <c r="Z523" s="6"/>
      <c r="AA523" s="6"/>
      <c r="AB523" s="6"/>
      <c r="AC523" s="6"/>
    </row>
    <row r="524" spans="1:29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225"/>
      <c r="O524" s="6"/>
      <c r="P524" s="6"/>
      <c r="Q524" s="6"/>
      <c r="R524" s="6"/>
      <c r="S524" s="6"/>
      <c r="T524" s="6"/>
      <c r="U524" s="6"/>
      <c r="V524" s="55"/>
      <c r="W524" s="6"/>
      <c r="X524" s="6"/>
      <c r="Y524" s="6"/>
      <c r="Z524" s="6"/>
      <c r="AA524" s="6"/>
      <c r="AB524" s="6"/>
      <c r="AC524" s="6"/>
    </row>
    <row r="525" spans="1:29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225"/>
      <c r="O525" s="6"/>
      <c r="P525" s="6"/>
      <c r="Q525" s="6"/>
      <c r="R525" s="6"/>
      <c r="S525" s="6"/>
      <c r="T525" s="6"/>
      <c r="U525" s="6"/>
      <c r="V525" s="55"/>
      <c r="W525" s="6"/>
      <c r="X525" s="6"/>
      <c r="Y525" s="6"/>
      <c r="Z525" s="6"/>
      <c r="AA525" s="6"/>
      <c r="AB525" s="6"/>
      <c r="AC525" s="6"/>
    </row>
    <row r="526" spans="1:29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225"/>
      <c r="O526" s="6"/>
      <c r="P526" s="6"/>
      <c r="Q526" s="6"/>
      <c r="R526" s="6"/>
      <c r="S526" s="6"/>
      <c r="T526" s="6"/>
      <c r="U526" s="6"/>
      <c r="V526" s="55"/>
      <c r="W526" s="6"/>
      <c r="X526" s="6"/>
      <c r="Y526" s="6"/>
      <c r="Z526" s="6"/>
      <c r="AA526" s="6"/>
      <c r="AB526" s="6"/>
      <c r="AC526" s="6"/>
    </row>
    <row r="527" spans="1:29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225"/>
      <c r="O527" s="6"/>
      <c r="P527" s="6"/>
      <c r="Q527" s="6"/>
      <c r="R527" s="6"/>
      <c r="S527" s="6"/>
      <c r="T527" s="6"/>
      <c r="U527" s="6"/>
      <c r="V527" s="55"/>
      <c r="W527" s="6"/>
      <c r="X527" s="6"/>
      <c r="Y527" s="6"/>
      <c r="Z527" s="6"/>
      <c r="AA527" s="6"/>
      <c r="AB527" s="6"/>
      <c r="AC527" s="6"/>
    </row>
    <row r="528" spans="1:29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225"/>
      <c r="O528" s="6"/>
      <c r="P528" s="6"/>
      <c r="Q528" s="6"/>
      <c r="R528" s="6"/>
      <c r="S528" s="6"/>
      <c r="T528" s="6"/>
      <c r="U528" s="6"/>
      <c r="V528" s="55"/>
      <c r="W528" s="6"/>
      <c r="X528" s="6"/>
      <c r="Y528" s="6"/>
      <c r="Z528" s="6"/>
      <c r="AA528" s="6"/>
      <c r="AB528" s="6"/>
      <c r="AC528" s="6"/>
    </row>
    <row r="529" spans="1:29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225"/>
      <c r="O529" s="6"/>
      <c r="P529" s="6"/>
      <c r="Q529" s="6"/>
      <c r="R529" s="6"/>
      <c r="S529" s="6"/>
      <c r="T529" s="6"/>
      <c r="U529" s="6"/>
      <c r="V529" s="55"/>
      <c r="W529" s="6"/>
      <c r="X529" s="6"/>
      <c r="Y529" s="6"/>
      <c r="Z529" s="6"/>
      <c r="AA529" s="6"/>
      <c r="AB529" s="6"/>
      <c r="AC529" s="6"/>
    </row>
    <row r="530" spans="1:29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225"/>
      <c r="O530" s="6"/>
      <c r="P530" s="6"/>
      <c r="Q530" s="6"/>
      <c r="R530" s="6"/>
      <c r="S530" s="6"/>
      <c r="T530" s="6"/>
      <c r="U530" s="6"/>
      <c r="V530" s="55"/>
      <c r="W530" s="6"/>
      <c r="X530" s="6"/>
      <c r="Y530" s="6"/>
      <c r="Z530" s="6"/>
      <c r="AA530" s="6"/>
      <c r="AB530" s="6"/>
      <c r="AC530" s="6"/>
    </row>
    <row r="531" spans="1:29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225"/>
      <c r="O531" s="6"/>
      <c r="P531" s="6"/>
      <c r="Q531" s="6"/>
      <c r="R531" s="6"/>
      <c r="S531" s="6"/>
      <c r="T531" s="6"/>
      <c r="U531" s="6"/>
      <c r="V531" s="55"/>
      <c r="W531" s="6"/>
      <c r="X531" s="6"/>
      <c r="Y531" s="6"/>
      <c r="Z531" s="6"/>
      <c r="AA531" s="6"/>
      <c r="AB531" s="6"/>
      <c r="AC531" s="6"/>
    </row>
    <row r="532" spans="1:29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225"/>
      <c r="O532" s="6"/>
      <c r="P532" s="6"/>
      <c r="Q532" s="6"/>
      <c r="R532" s="6"/>
      <c r="S532" s="6"/>
      <c r="T532" s="6"/>
      <c r="U532" s="6"/>
      <c r="V532" s="55"/>
      <c r="W532" s="6"/>
      <c r="X532" s="6"/>
      <c r="Y532" s="6"/>
      <c r="Z532" s="6"/>
      <c r="AA532" s="6"/>
      <c r="AB532" s="6"/>
      <c r="AC532" s="6"/>
    </row>
    <row r="533" spans="1:29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225"/>
      <c r="O533" s="6"/>
      <c r="P533" s="6"/>
      <c r="Q533" s="6"/>
      <c r="R533" s="6"/>
      <c r="S533" s="6"/>
      <c r="T533" s="6"/>
      <c r="U533" s="6"/>
      <c r="V533" s="55"/>
      <c r="W533" s="6"/>
      <c r="X533" s="6"/>
      <c r="Y533" s="6"/>
      <c r="Z533" s="6"/>
      <c r="AA533" s="6"/>
      <c r="AB533" s="6"/>
      <c r="AC533" s="6"/>
    </row>
    <row r="534" spans="1:29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225"/>
      <c r="O534" s="6"/>
      <c r="P534" s="6"/>
      <c r="Q534" s="6"/>
      <c r="R534" s="6"/>
      <c r="S534" s="6"/>
      <c r="T534" s="6"/>
      <c r="U534" s="6"/>
      <c r="V534" s="55"/>
      <c r="W534" s="6"/>
      <c r="X534" s="6"/>
      <c r="Y534" s="6"/>
      <c r="Z534" s="6"/>
      <c r="AA534" s="6"/>
      <c r="AB534" s="6"/>
      <c r="AC534" s="6"/>
    </row>
    <row r="535" spans="1:29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225"/>
      <c r="O535" s="6"/>
      <c r="P535" s="6"/>
      <c r="Q535" s="6"/>
      <c r="R535" s="6"/>
      <c r="S535" s="6"/>
      <c r="T535" s="6"/>
      <c r="U535" s="6"/>
      <c r="V535" s="55"/>
      <c r="W535" s="6"/>
      <c r="X535" s="6"/>
      <c r="Y535" s="6"/>
      <c r="Z535" s="6"/>
      <c r="AA535" s="6"/>
      <c r="AB535" s="6"/>
      <c r="AC535" s="6"/>
    </row>
    <row r="536" spans="1:29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225"/>
      <c r="O536" s="6"/>
      <c r="P536" s="6"/>
      <c r="Q536" s="6"/>
      <c r="R536" s="6"/>
      <c r="S536" s="6"/>
      <c r="T536" s="6"/>
      <c r="U536" s="6"/>
      <c r="V536" s="55"/>
      <c r="W536" s="6"/>
      <c r="X536" s="6"/>
      <c r="Y536" s="6"/>
      <c r="Z536" s="6"/>
      <c r="AA536" s="6"/>
      <c r="AB536" s="6"/>
      <c r="AC536" s="6"/>
    </row>
    <row r="537" spans="1:29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225"/>
      <c r="O537" s="6"/>
      <c r="P537" s="6"/>
      <c r="Q537" s="6"/>
      <c r="R537" s="6"/>
      <c r="S537" s="6"/>
      <c r="T537" s="6"/>
      <c r="U537" s="6"/>
      <c r="V537" s="55"/>
      <c r="W537" s="6"/>
      <c r="X537" s="6"/>
      <c r="Y537" s="6"/>
      <c r="Z537" s="6"/>
      <c r="AA537" s="6"/>
      <c r="AB537" s="6"/>
      <c r="AC537" s="6"/>
    </row>
    <row r="538" spans="1:29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225"/>
      <c r="O538" s="6"/>
      <c r="P538" s="6"/>
      <c r="Q538" s="6"/>
      <c r="R538" s="6"/>
      <c r="S538" s="6"/>
      <c r="T538" s="6"/>
      <c r="U538" s="6"/>
      <c r="V538" s="55"/>
      <c r="W538" s="6"/>
      <c r="X538" s="6"/>
      <c r="Y538" s="6"/>
      <c r="Z538" s="6"/>
      <c r="AA538" s="6"/>
      <c r="AB538" s="6"/>
      <c r="AC538" s="6"/>
    </row>
    <row r="539" spans="1:29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225"/>
      <c r="O539" s="6"/>
      <c r="P539" s="6"/>
      <c r="Q539" s="6"/>
      <c r="R539" s="6"/>
      <c r="S539" s="6"/>
      <c r="T539" s="6"/>
      <c r="U539" s="6"/>
      <c r="V539" s="55"/>
      <c r="W539" s="6"/>
      <c r="X539" s="6"/>
      <c r="Y539" s="6"/>
      <c r="Z539" s="6"/>
      <c r="AA539" s="6"/>
      <c r="AB539" s="6"/>
      <c r="AC539" s="6"/>
    </row>
    <row r="540" spans="1:29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225"/>
      <c r="O540" s="6"/>
      <c r="P540" s="6"/>
      <c r="Q540" s="6"/>
      <c r="R540" s="6"/>
      <c r="S540" s="6"/>
      <c r="T540" s="6"/>
      <c r="U540" s="6"/>
      <c r="V540" s="55"/>
      <c r="W540" s="6"/>
      <c r="X540" s="6"/>
      <c r="Y540" s="6"/>
      <c r="Z540" s="6"/>
      <c r="AA540" s="6"/>
      <c r="AB540" s="6"/>
      <c r="AC540" s="6"/>
    </row>
    <row r="541" spans="1:29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225"/>
      <c r="O541" s="6"/>
      <c r="P541" s="6"/>
      <c r="Q541" s="6"/>
      <c r="R541" s="6"/>
      <c r="S541" s="6"/>
      <c r="T541" s="6"/>
      <c r="U541" s="6"/>
      <c r="V541" s="55"/>
      <c r="W541" s="6"/>
      <c r="X541" s="6"/>
      <c r="Y541" s="6"/>
      <c r="Z541" s="6"/>
      <c r="AA541" s="6"/>
      <c r="AB541" s="6"/>
      <c r="AC541" s="6"/>
    </row>
    <row r="542" spans="1:29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225"/>
      <c r="O542" s="6"/>
      <c r="P542" s="6"/>
      <c r="Q542" s="6"/>
      <c r="R542" s="6"/>
      <c r="S542" s="6"/>
      <c r="T542" s="6"/>
      <c r="U542" s="6"/>
      <c r="V542" s="55"/>
      <c r="W542" s="6"/>
      <c r="X542" s="6"/>
      <c r="Y542" s="6"/>
      <c r="Z542" s="6"/>
      <c r="AA542" s="6"/>
      <c r="AB542" s="6"/>
      <c r="AC542" s="6"/>
    </row>
    <row r="543" spans="1:29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225"/>
      <c r="O543" s="6"/>
      <c r="P543" s="6"/>
      <c r="Q543" s="6"/>
      <c r="R543" s="6"/>
      <c r="S543" s="6"/>
      <c r="T543" s="6"/>
      <c r="U543" s="6"/>
      <c r="V543" s="55"/>
      <c r="W543" s="6"/>
      <c r="X543" s="6"/>
      <c r="Y543" s="6"/>
      <c r="Z543" s="6"/>
      <c r="AA543" s="6"/>
      <c r="AB543" s="6"/>
      <c r="AC543" s="6"/>
    </row>
    <row r="544" spans="1:29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225"/>
      <c r="O544" s="6"/>
      <c r="P544" s="6"/>
      <c r="Q544" s="6"/>
      <c r="R544" s="6"/>
      <c r="S544" s="6"/>
      <c r="T544" s="6"/>
      <c r="U544" s="6"/>
      <c r="V544" s="55"/>
      <c r="W544" s="6"/>
      <c r="X544" s="6"/>
      <c r="Y544" s="6"/>
      <c r="Z544" s="6"/>
      <c r="AA544" s="6"/>
      <c r="AB544" s="6"/>
      <c r="AC544" s="6"/>
    </row>
    <row r="545" spans="1:29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225"/>
      <c r="O545" s="6"/>
      <c r="P545" s="6"/>
      <c r="Q545" s="6"/>
      <c r="R545" s="6"/>
      <c r="S545" s="6"/>
      <c r="T545" s="6"/>
      <c r="U545" s="6"/>
      <c r="V545" s="55"/>
      <c r="W545" s="6"/>
      <c r="X545" s="6"/>
      <c r="Y545" s="6"/>
      <c r="Z545" s="6"/>
      <c r="AA545" s="6"/>
      <c r="AB545" s="6"/>
      <c r="AC545" s="6"/>
    </row>
    <row r="546" spans="1:29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225"/>
      <c r="O546" s="6"/>
      <c r="P546" s="6"/>
      <c r="Q546" s="6"/>
      <c r="R546" s="6"/>
      <c r="S546" s="6"/>
      <c r="T546" s="6"/>
      <c r="U546" s="6"/>
      <c r="V546" s="55"/>
      <c r="W546" s="6"/>
      <c r="X546" s="6"/>
      <c r="Y546" s="6"/>
      <c r="Z546" s="6"/>
      <c r="AA546" s="6"/>
      <c r="AB546" s="6"/>
      <c r="AC546" s="6"/>
    </row>
    <row r="547" spans="1:29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225"/>
      <c r="O547" s="6"/>
      <c r="P547" s="6"/>
      <c r="Q547" s="6"/>
      <c r="R547" s="6"/>
      <c r="S547" s="6"/>
      <c r="T547" s="6"/>
      <c r="U547" s="6"/>
      <c r="V547" s="55"/>
      <c r="W547" s="6"/>
      <c r="X547" s="6"/>
      <c r="Y547" s="6"/>
      <c r="Z547" s="6"/>
      <c r="AA547" s="6"/>
      <c r="AB547" s="6"/>
      <c r="AC547" s="6"/>
    </row>
    <row r="548" spans="1:29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225"/>
      <c r="O548" s="6"/>
      <c r="P548" s="6"/>
      <c r="Q548" s="6"/>
      <c r="R548" s="6"/>
      <c r="S548" s="6"/>
      <c r="T548" s="6"/>
      <c r="U548" s="6"/>
      <c r="V548" s="55"/>
      <c r="W548" s="6"/>
      <c r="X548" s="6"/>
      <c r="Y548" s="6"/>
      <c r="Z548" s="6"/>
      <c r="AA548" s="6"/>
      <c r="AB548" s="6"/>
      <c r="AC548" s="6"/>
    </row>
    <row r="549" spans="1:29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225"/>
      <c r="O549" s="6"/>
      <c r="P549" s="6"/>
      <c r="Q549" s="6"/>
      <c r="R549" s="6"/>
      <c r="S549" s="6"/>
      <c r="T549" s="6"/>
      <c r="U549" s="6"/>
      <c r="V549" s="55"/>
      <c r="W549" s="6"/>
      <c r="X549" s="6"/>
      <c r="Y549" s="6"/>
      <c r="Z549" s="6"/>
      <c r="AA549" s="6"/>
      <c r="AB549" s="6"/>
      <c r="AC549" s="6"/>
    </row>
    <row r="550" spans="1:29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225"/>
      <c r="O550" s="6"/>
      <c r="P550" s="6"/>
      <c r="Q550" s="6"/>
      <c r="R550" s="6"/>
      <c r="S550" s="6"/>
      <c r="T550" s="6"/>
      <c r="U550" s="6"/>
      <c r="V550" s="55"/>
      <c r="W550" s="6"/>
      <c r="X550" s="6"/>
      <c r="Y550" s="6"/>
      <c r="Z550" s="6"/>
      <c r="AA550" s="6"/>
      <c r="AB550" s="6"/>
      <c r="AC550" s="6"/>
    </row>
    <row r="551" spans="1:29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225"/>
      <c r="O551" s="6"/>
      <c r="P551" s="6"/>
      <c r="Q551" s="6"/>
      <c r="R551" s="6"/>
      <c r="S551" s="6"/>
      <c r="T551" s="6"/>
      <c r="U551" s="6"/>
      <c r="V551" s="55"/>
      <c r="W551" s="6"/>
      <c r="X551" s="6"/>
      <c r="Y551" s="6"/>
      <c r="Z551" s="6"/>
      <c r="AA551" s="6"/>
      <c r="AB551" s="6"/>
      <c r="AC551" s="6"/>
    </row>
    <row r="552" spans="1:29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225"/>
      <c r="O552" s="6"/>
      <c r="P552" s="6"/>
      <c r="Q552" s="6"/>
      <c r="R552" s="6"/>
      <c r="S552" s="6"/>
      <c r="T552" s="6"/>
      <c r="U552" s="6"/>
      <c r="V552" s="55"/>
      <c r="W552" s="6"/>
      <c r="X552" s="6"/>
      <c r="Y552" s="6"/>
      <c r="Z552" s="6"/>
      <c r="AA552" s="6"/>
      <c r="AB552" s="6"/>
      <c r="AC552" s="6"/>
    </row>
    <row r="553" spans="1:29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225"/>
      <c r="O553" s="6"/>
      <c r="P553" s="6"/>
      <c r="Q553" s="6"/>
      <c r="R553" s="6"/>
      <c r="S553" s="6"/>
      <c r="T553" s="6"/>
      <c r="U553" s="6"/>
      <c r="V553" s="55"/>
      <c r="W553" s="6"/>
      <c r="X553" s="6"/>
      <c r="Y553" s="6"/>
      <c r="Z553" s="6"/>
      <c r="AA553" s="6"/>
      <c r="AB553" s="6"/>
      <c r="AC553" s="6"/>
    </row>
    <row r="554" spans="1:29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225"/>
      <c r="O554" s="6"/>
      <c r="P554" s="6"/>
      <c r="Q554" s="6"/>
      <c r="R554" s="6"/>
      <c r="S554" s="6"/>
      <c r="T554" s="6"/>
      <c r="U554" s="6"/>
      <c r="V554" s="55"/>
      <c r="W554" s="6"/>
      <c r="X554" s="6"/>
      <c r="Y554" s="6"/>
      <c r="Z554" s="6"/>
      <c r="AA554" s="6"/>
      <c r="AB554" s="6"/>
      <c r="AC554" s="6"/>
    </row>
    <row r="555" spans="1:29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225"/>
      <c r="O555" s="6"/>
      <c r="P555" s="6"/>
      <c r="Q555" s="6"/>
      <c r="R555" s="6"/>
      <c r="S555" s="6"/>
      <c r="T555" s="6"/>
      <c r="U555" s="6"/>
      <c r="V555" s="55"/>
      <c r="W555" s="6"/>
      <c r="X555" s="6"/>
      <c r="Y555" s="6"/>
      <c r="Z555" s="6"/>
      <c r="AA555" s="6"/>
      <c r="AB555" s="6"/>
      <c r="AC555" s="6"/>
    </row>
    <row r="556" spans="1:29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225"/>
      <c r="O556" s="6"/>
      <c r="P556" s="6"/>
      <c r="Q556" s="6"/>
      <c r="R556" s="6"/>
      <c r="S556" s="6"/>
      <c r="T556" s="6"/>
      <c r="U556" s="6"/>
      <c r="V556" s="55"/>
      <c r="W556" s="6"/>
      <c r="X556" s="6"/>
      <c r="Y556" s="6"/>
      <c r="Z556" s="6"/>
      <c r="AA556" s="6"/>
      <c r="AB556" s="6"/>
      <c r="AC556" s="6"/>
    </row>
    <row r="557" spans="1:29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225"/>
      <c r="O557" s="6"/>
      <c r="P557" s="6"/>
      <c r="Q557" s="6"/>
      <c r="R557" s="6"/>
      <c r="S557" s="6"/>
      <c r="T557" s="6"/>
      <c r="U557" s="6"/>
      <c r="V557" s="55"/>
      <c r="W557" s="6"/>
      <c r="X557" s="6"/>
      <c r="Y557" s="6"/>
      <c r="Z557" s="6"/>
      <c r="AA557" s="6"/>
      <c r="AB557" s="6"/>
      <c r="AC557" s="6"/>
    </row>
    <row r="558" spans="1:29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225"/>
      <c r="O558" s="6"/>
      <c r="P558" s="6"/>
      <c r="Q558" s="6"/>
      <c r="R558" s="6"/>
      <c r="S558" s="6"/>
      <c r="T558" s="6"/>
      <c r="U558" s="6"/>
      <c r="V558" s="55"/>
      <c r="W558" s="6"/>
      <c r="X558" s="6"/>
      <c r="Y558" s="6"/>
      <c r="Z558" s="6"/>
      <c r="AA558" s="6"/>
      <c r="AB558" s="6"/>
      <c r="AC558" s="6"/>
    </row>
    <row r="559" spans="1:29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225"/>
      <c r="O559" s="6"/>
      <c r="P559" s="6"/>
      <c r="Q559" s="6"/>
      <c r="R559" s="6"/>
      <c r="S559" s="6"/>
      <c r="T559" s="6"/>
      <c r="U559" s="6"/>
      <c r="V559" s="55"/>
      <c r="W559" s="6"/>
      <c r="X559" s="6"/>
      <c r="Y559" s="6"/>
      <c r="Z559" s="6"/>
      <c r="AA559" s="6"/>
      <c r="AB559" s="6"/>
      <c r="AC559" s="6"/>
    </row>
    <row r="560" spans="1:29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225"/>
      <c r="O560" s="6"/>
      <c r="P560" s="6"/>
      <c r="Q560" s="6"/>
      <c r="R560" s="6"/>
      <c r="S560" s="6"/>
      <c r="T560" s="6"/>
      <c r="U560" s="6"/>
      <c r="V560" s="55"/>
      <c r="W560" s="6"/>
      <c r="X560" s="6"/>
      <c r="Y560" s="6"/>
      <c r="Z560" s="6"/>
      <c r="AA560" s="6"/>
      <c r="AB560" s="6"/>
      <c r="AC560" s="6"/>
    </row>
    <row r="561" spans="1:29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225"/>
      <c r="O561" s="6"/>
      <c r="P561" s="6"/>
      <c r="Q561" s="6"/>
      <c r="R561" s="6"/>
      <c r="S561" s="6"/>
      <c r="T561" s="6"/>
      <c r="U561" s="6"/>
      <c r="V561" s="55"/>
      <c r="W561" s="6"/>
      <c r="X561" s="6"/>
      <c r="Y561" s="6"/>
      <c r="Z561" s="6"/>
      <c r="AA561" s="6"/>
      <c r="AB561" s="6"/>
      <c r="AC561" s="6"/>
    </row>
    <row r="562" spans="1:29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225"/>
      <c r="O562" s="6"/>
      <c r="P562" s="6"/>
      <c r="Q562" s="6"/>
      <c r="R562" s="6"/>
      <c r="S562" s="6"/>
      <c r="T562" s="6"/>
      <c r="U562" s="6"/>
      <c r="V562" s="55"/>
      <c r="W562" s="6"/>
      <c r="X562" s="6"/>
      <c r="Y562" s="6"/>
      <c r="Z562" s="6"/>
      <c r="AA562" s="6"/>
      <c r="AB562" s="6"/>
      <c r="AC562" s="6"/>
    </row>
    <row r="563" spans="1:29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225"/>
      <c r="O563" s="6"/>
      <c r="P563" s="6"/>
      <c r="Q563" s="6"/>
      <c r="R563" s="6"/>
      <c r="S563" s="6"/>
      <c r="T563" s="6"/>
      <c r="U563" s="6"/>
      <c r="V563" s="55"/>
      <c r="W563" s="6"/>
      <c r="X563" s="6"/>
      <c r="Y563" s="6"/>
      <c r="Z563" s="6"/>
      <c r="AA563" s="6"/>
      <c r="AB563" s="6"/>
      <c r="AC563" s="6"/>
    </row>
    <row r="564" spans="1:29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225"/>
      <c r="O564" s="6"/>
      <c r="P564" s="6"/>
      <c r="Q564" s="6"/>
      <c r="R564" s="6"/>
      <c r="S564" s="6"/>
      <c r="T564" s="6"/>
      <c r="U564" s="6"/>
      <c r="V564" s="55"/>
      <c r="W564" s="6"/>
      <c r="X564" s="6"/>
      <c r="Y564" s="6"/>
      <c r="Z564" s="6"/>
      <c r="AA564" s="6"/>
      <c r="AB564" s="6"/>
      <c r="AC564" s="6"/>
    </row>
    <row r="565" spans="1:29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225"/>
      <c r="O565" s="6"/>
      <c r="P565" s="6"/>
      <c r="Q565" s="6"/>
      <c r="R565" s="6"/>
      <c r="S565" s="6"/>
      <c r="T565" s="6"/>
      <c r="U565" s="6"/>
      <c r="V565" s="55"/>
      <c r="W565" s="6"/>
      <c r="X565" s="6"/>
      <c r="Y565" s="6"/>
      <c r="Z565" s="6"/>
      <c r="AA565" s="6"/>
      <c r="AB565" s="6"/>
      <c r="AC565" s="6"/>
    </row>
    <row r="566" spans="1:29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225"/>
      <c r="O566" s="6"/>
      <c r="P566" s="6"/>
      <c r="Q566" s="6"/>
      <c r="R566" s="6"/>
      <c r="S566" s="6"/>
      <c r="T566" s="6"/>
      <c r="U566" s="6"/>
      <c r="V566" s="55"/>
      <c r="W566" s="6"/>
      <c r="X566" s="6"/>
      <c r="Y566" s="6"/>
      <c r="Z566" s="6"/>
      <c r="AA566" s="6"/>
      <c r="AB566" s="6"/>
      <c r="AC566" s="6"/>
    </row>
    <row r="567" spans="1:29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225"/>
      <c r="O567" s="6"/>
      <c r="P567" s="6"/>
      <c r="Q567" s="6"/>
      <c r="R567" s="6"/>
      <c r="S567" s="6"/>
      <c r="T567" s="6"/>
      <c r="U567" s="6"/>
      <c r="V567" s="55"/>
      <c r="W567" s="6"/>
      <c r="X567" s="6"/>
      <c r="Y567" s="6"/>
      <c r="Z567" s="6"/>
      <c r="AA567" s="6"/>
      <c r="AB567" s="6"/>
      <c r="AC567" s="6"/>
    </row>
    <row r="568" spans="1:29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225"/>
      <c r="O568" s="6"/>
      <c r="P568" s="6"/>
      <c r="Q568" s="6"/>
      <c r="R568" s="6"/>
      <c r="S568" s="6"/>
      <c r="T568" s="6"/>
      <c r="U568" s="6"/>
      <c r="V568" s="55"/>
      <c r="W568" s="6"/>
      <c r="X568" s="6"/>
      <c r="Y568" s="6"/>
      <c r="Z568" s="6"/>
      <c r="AA568" s="6"/>
      <c r="AB568" s="6"/>
      <c r="AC568" s="6"/>
    </row>
    <row r="569" spans="1:29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225"/>
      <c r="O569" s="6"/>
      <c r="P569" s="6"/>
      <c r="Q569" s="6"/>
      <c r="R569" s="6"/>
      <c r="S569" s="6"/>
      <c r="T569" s="6"/>
      <c r="U569" s="6"/>
      <c r="V569" s="55"/>
      <c r="W569" s="6"/>
      <c r="X569" s="6"/>
      <c r="Y569" s="6"/>
      <c r="Z569" s="6"/>
      <c r="AA569" s="6"/>
      <c r="AB569" s="6"/>
      <c r="AC569" s="6"/>
    </row>
    <row r="570" spans="1:29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225"/>
      <c r="O570" s="6"/>
      <c r="P570" s="6"/>
      <c r="Q570" s="6"/>
      <c r="R570" s="6"/>
      <c r="S570" s="6"/>
      <c r="T570" s="6"/>
      <c r="U570" s="6"/>
      <c r="V570" s="55"/>
      <c r="W570" s="6"/>
      <c r="X570" s="6"/>
      <c r="Y570" s="6"/>
      <c r="Z570" s="6"/>
      <c r="AA570" s="6"/>
      <c r="AB570" s="6"/>
      <c r="AC570" s="6"/>
    </row>
    <row r="571" spans="1:29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225"/>
      <c r="O571" s="6"/>
      <c r="P571" s="6"/>
      <c r="Q571" s="6"/>
      <c r="R571" s="6"/>
      <c r="S571" s="6"/>
      <c r="T571" s="6"/>
      <c r="U571" s="6"/>
      <c r="V571" s="55"/>
      <c r="W571" s="6"/>
      <c r="X571" s="6"/>
      <c r="Y571" s="6"/>
      <c r="Z571" s="6"/>
      <c r="AA571" s="6"/>
      <c r="AB571" s="6"/>
      <c r="AC571" s="6"/>
    </row>
    <row r="572" spans="1:29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225"/>
      <c r="O572" s="6"/>
      <c r="P572" s="6"/>
      <c r="Q572" s="6"/>
      <c r="R572" s="6"/>
      <c r="S572" s="6"/>
      <c r="T572" s="6"/>
      <c r="U572" s="6"/>
      <c r="V572" s="55"/>
      <c r="W572" s="6"/>
      <c r="X572" s="6"/>
      <c r="Y572" s="6"/>
      <c r="Z572" s="6"/>
      <c r="AA572" s="6"/>
      <c r="AB572" s="6"/>
      <c r="AC572" s="6"/>
    </row>
    <row r="573" spans="1:29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225"/>
      <c r="O573" s="6"/>
      <c r="P573" s="6"/>
      <c r="Q573" s="6"/>
      <c r="R573" s="6"/>
      <c r="S573" s="6"/>
      <c r="T573" s="6"/>
      <c r="U573" s="6"/>
      <c r="V573" s="55"/>
      <c r="W573" s="6"/>
      <c r="X573" s="6"/>
      <c r="Y573" s="6"/>
      <c r="Z573" s="6"/>
      <c r="AA573" s="6"/>
      <c r="AB573" s="6"/>
      <c r="AC573" s="6"/>
    </row>
    <row r="574" spans="1:29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225"/>
      <c r="O574" s="6"/>
      <c r="P574" s="6"/>
      <c r="Q574" s="6"/>
      <c r="R574" s="6"/>
      <c r="S574" s="6"/>
      <c r="T574" s="6"/>
      <c r="U574" s="6"/>
      <c r="V574" s="55"/>
      <c r="W574" s="6"/>
      <c r="X574" s="6"/>
      <c r="Y574" s="6"/>
      <c r="Z574" s="6"/>
      <c r="AA574" s="6"/>
      <c r="AB574" s="6"/>
      <c r="AC574" s="6"/>
    </row>
    <row r="575" spans="1:29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225"/>
      <c r="O575" s="6"/>
      <c r="P575" s="6"/>
      <c r="Q575" s="6"/>
      <c r="R575" s="6"/>
      <c r="S575" s="6"/>
      <c r="T575" s="6"/>
      <c r="U575" s="6"/>
      <c r="V575" s="55"/>
      <c r="W575" s="6"/>
      <c r="X575" s="6"/>
      <c r="Y575" s="6"/>
      <c r="Z575" s="6"/>
      <c r="AA575" s="6"/>
      <c r="AB575" s="6"/>
      <c r="AC575" s="6"/>
    </row>
    <row r="576" spans="1:29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225"/>
      <c r="O576" s="6"/>
      <c r="P576" s="6"/>
      <c r="Q576" s="6"/>
      <c r="R576" s="6"/>
      <c r="S576" s="6"/>
      <c r="T576" s="6"/>
      <c r="U576" s="6"/>
      <c r="V576" s="55"/>
      <c r="W576" s="6"/>
      <c r="X576" s="6"/>
      <c r="Y576" s="6"/>
      <c r="Z576" s="6"/>
      <c r="AA576" s="6"/>
      <c r="AB576" s="6"/>
      <c r="AC576" s="6"/>
    </row>
    <row r="577" spans="1:29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225"/>
      <c r="O577" s="6"/>
      <c r="P577" s="6"/>
      <c r="Q577" s="6"/>
      <c r="R577" s="6"/>
      <c r="S577" s="6"/>
      <c r="T577" s="6"/>
      <c r="U577" s="6"/>
      <c r="V577" s="55"/>
      <c r="W577" s="6"/>
      <c r="X577" s="6"/>
      <c r="Y577" s="6"/>
      <c r="Z577" s="6"/>
      <c r="AA577" s="6"/>
      <c r="AB577" s="6"/>
      <c r="AC577" s="6"/>
    </row>
    <row r="578" spans="1:29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225"/>
      <c r="O578" s="6"/>
      <c r="P578" s="6"/>
      <c r="Q578" s="6"/>
      <c r="R578" s="6"/>
      <c r="S578" s="6"/>
      <c r="T578" s="6"/>
      <c r="U578" s="6"/>
      <c r="V578" s="55"/>
      <c r="W578" s="6"/>
      <c r="X578" s="6"/>
      <c r="Y578" s="6"/>
      <c r="Z578" s="6"/>
      <c r="AA578" s="6"/>
      <c r="AB578" s="6"/>
      <c r="AC578" s="6"/>
    </row>
    <row r="579" spans="1:29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225"/>
      <c r="O579" s="6"/>
      <c r="P579" s="6"/>
      <c r="Q579" s="6"/>
      <c r="R579" s="6"/>
      <c r="S579" s="6"/>
      <c r="T579" s="6"/>
      <c r="U579" s="6"/>
      <c r="V579" s="55"/>
      <c r="W579" s="6"/>
      <c r="X579" s="6"/>
      <c r="Y579" s="6"/>
      <c r="Z579" s="6"/>
      <c r="AA579" s="6"/>
      <c r="AB579" s="6"/>
      <c r="AC579" s="6"/>
    </row>
    <row r="580" spans="1:29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225"/>
      <c r="O580" s="6"/>
      <c r="P580" s="6"/>
      <c r="Q580" s="6"/>
      <c r="R580" s="6"/>
      <c r="S580" s="6"/>
      <c r="T580" s="6"/>
      <c r="U580" s="6"/>
      <c r="V580" s="55"/>
      <c r="W580" s="6"/>
      <c r="X580" s="6"/>
      <c r="Y580" s="6"/>
      <c r="Z580" s="6"/>
      <c r="AA580" s="6"/>
      <c r="AB580" s="6"/>
      <c r="AC580" s="6"/>
    </row>
    <row r="581" spans="1:29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225"/>
      <c r="O581" s="6"/>
      <c r="P581" s="6"/>
      <c r="Q581" s="6"/>
      <c r="R581" s="6"/>
      <c r="S581" s="6"/>
      <c r="T581" s="6"/>
      <c r="U581" s="6"/>
      <c r="V581" s="55"/>
      <c r="W581" s="6"/>
      <c r="X581" s="6"/>
      <c r="Y581" s="6"/>
      <c r="Z581" s="6"/>
      <c r="AA581" s="6"/>
      <c r="AB581" s="6"/>
      <c r="AC581" s="6"/>
    </row>
    <row r="582" spans="1:29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225"/>
      <c r="O582" s="6"/>
      <c r="P582" s="6"/>
      <c r="Q582" s="6"/>
      <c r="R582" s="6"/>
      <c r="S582" s="6"/>
      <c r="T582" s="6"/>
      <c r="U582" s="6"/>
      <c r="V582" s="55"/>
      <c r="W582" s="6"/>
      <c r="X582" s="6"/>
      <c r="Y582" s="6"/>
      <c r="Z582" s="6"/>
      <c r="AA582" s="6"/>
      <c r="AB582" s="6"/>
      <c r="AC582" s="6"/>
    </row>
    <row r="583" spans="1:29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225"/>
      <c r="O583" s="6"/>
      <c r="P583" s="6"/>
      <c r="Q583" s="6"/>
      <c r="R583" s="6"/>
      <c r="S583" s="6"/>
      <c r="T583" s="6"/>
      <c r="U583" s="6"/>
      <c r="V583" s="55"/>
      <c r="W583" s="6"/>
      <c r="X583" s="6"/>
      <c r="Y583" s="6"/>
      <c r="Z583" s="6"/>
      <c r="AA583" s="6"/>
      <c r="AB583" s="6"/>
      <c r="AC583" s="6"/>
    </row>
    <row r="584" spans="1:29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225"/>
      <c r="O584" s="6"/>
      <c r="P584" s="6"/>
      <c r="Q584" s="6"/>
      <c r="R584" s="6"/>
      <c r="S584" s="6"/>
      <c r="T584" s="6"/>
      <c r="U584" s="6"/>
      <c r="V584" s="55"/>
      <c r="W584" s="6"/>
      <c r="X584" s="6"/>
      <c r="Y584" s="6"/>
      <c r="Z584" s="6"/>
      <c r="AA584" s="6"/>
      <c r="AB584" s="6"/>
      <c r="AC584" s="6"/>
    </row>
    <row r="585" spans="1:29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225"/>
      <c r="O585" s="6"/>
      <c r="P585" s="6"/>
      <c r="Q585" s="6"/>
      <c r="R585" s="6"/>
      <c r="S585" s="6"/>
      <c r="T585" s="6"/>
      <c r="U585" s="6"/>
      <c r="V585" s="55"/>
      <c r="W585" s="6"/>
      <c r="X585" s="6"/>
      <c r="Y585" s="6"/>
      <c r="Z585" s="6"/>
      <c r="AA585" s="6"/>
      <c r="AB585" s="6"/>
      <c r="AC585" s="6"/>
    </row>
    <row r="586" spans="1:29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225"/>
      <c r="O586" s="6"/>
      <c r="P586" s="6"/>
      <c r="Q586" s="6"/>
      <c r="R586" s="6"/>
      <c r="S586" s="6"/>
      <c r="T586" s="6"/>
      <c r="U586" s="6"/>
      <c r="V586" s="55"/>
      <c r="W586" s="6"/>
      <c r="X586" s="6"/>
      <c r="Y586" s="6"/>
      <c r="Z586" s="6"/>
      <c r="AA586" s="6"/>
      <c r="AB586" s="6"/>
      <c r="AC586" s="6"/>
    </row>
    <row r="587" spans="1:29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225"/>
      <c r="O587" s="6"/>
      <c r="P587" s="6"/>
      <c r="Q587" s="6"/>
      <c r="R587" s="6"/>
      <c r="S587" s="6"/>
      <c r="T587" s="6"/>
      <c r="U587" s="6"/>
      <c r="V587" s="55"/>
      <c r="W587" s="6"/>
      <c r="X587" s="6"/>
      <c r="Y587" s="6"/>
      <c r="Z587" s="6"/>
      <c r="AA587" s="6"/>
      <c r="AB587" s="6"/>
      <c r="AC587" s="6"/>
    </row>
    <row r="588" spans="1:29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225"/>
      <c r="O588" s="6"/>
      <c r="P588" s="6"/>
      <c r="Q588" s="6"/>
      <c r="R588" s="6"/>
      <c r="S588" s="6"/>
      <c r="T588" s="6"/>
      <c r="U588" s="6"/>
      <c r="V588" s="55"/>
      <c r="W588" s="6"/>
      <c r="X588" s="6"/>
      <c r="Y588" s="6"/>
      <c r="Z588" s="6"/>
      <c r="AA588" s="6"/>
      <c r="AB588" s="6"/>
      <c r="AC588" s="6"/>
    </row>
    <row r="589" spans="1:29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225"/>
      <c r="O589" s="6"/>
      <c r="P589" s="6"/>
      <c r="Q589" s="6"/>
      <c r="R589" s="6"/>
      <c r="S589" s="6"/>
      <c r="T589" s="6"/>
      <c r="U589" s="6"/>
      <c r="V589" s="55"/>
      <c r="W589" s="6"/>
      <c r="X589" s="6"/>
      <c r="Y589" s="6"/>
      <c r="Z589" s="6"/>
      <c r="AA589" s="6"/>
      <c r="AB589" s="6"/>
      <c r="AC589" s="6"/>
    </row>
    <row r="590" spans="1:29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225"/>
      <c r="O590" s="6"/>
      <c r="P590" s="6"/>
      <c r="Q590" s="6"/>
      <c r="R590" s="6"/>
      <c r="S590" s="6"/>
      <c r="T590" s="6"/>
      <c r="U590" s="6"/>
      <c r="V590" s="55"/>
      <c r="W590" s="6"/>
      <c r="X590" s="6"/>
      <c r="Y590" s="6"/>
      <c r="Z590" s="6"/>
      <c r="AA590" s="6"/>
      <c r="AB590" s="6"/>
      <c r="AC590" s="6"/>
    </row>
    <row r="591" spans="1:29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225"/>
      <c r="O591" s="6"/>
      <c r="P591" s="6"/>
      <c r="Q591" s="6"/>
      <c r="R591" s="6"/>
      <c r="S591" s="6"/>
      <c r="T591" s="6"/>
      <c r="U591" s="6"/>
      <c r="V591" s="55"/>
      <c r="W591" s="6"/>
      <c r="X591" s="6"/>
      <c r="Y591" s="6"/>
      <c r="Z591" s="6"/>
      <c r="AA591" s="6"/>
      <c r="AB591" s="6"/>
      <c r="AC591" s="6"/>
    </row>
    <row r="592" spans="1:29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225"/>
      <c r="O592" s="6"/>
      <c r="P592" s="6"/>
      <c r="Q592" s="6"/>
      <c r="R592" s="6"/>
      <c r="S592" s="6"/>
      <c r="T592" s="6"/>
      <c r="U592" s="6"/>
      <c r="V592" s="55"/>
      <c r="W592" s="6"/>
      <c r="X592" s="6"/>
      <c r="Y592" s="6"/>
      <c r="Z592" s="6"/>
      <c r="AA592" s="6"/>
      <c r="AB592" s="6"/>
      <c r="AC592" s="6"/>
    </row>
    <row r="593" spans="1:29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225"/>
      <c r="O593" s="6"/>
      <c r="P593" s="6"/>
      <c r="Q593" s="6"/>
      <c r="R593" s="6"/>
      <c r="S593" s="6"/>
      <c r="T593" s="6"/>
      <c r="U593" s="6"/>
      <c r="V593" s="55"/>
      <c r="W593" s="6"/>
      <c r="X593" s="6"/>
      <c r="Y593" s="6"/>
      <c r="Z593" s="6"/>
      <c r="AA593" s="6"/>
      <c r="AB593" s="6"/>
      <c r="AC593" s="6"/>
    </row>
    <row r="594" spans="1:29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225"/>
      <c r="O594" s="6"/>
      <c r="P594" s="6"/>
      <c r="Q594" s="6"/>
      <c r="R594" s="6"/>
      <c r="S594" s="6"/>
      <c r="T594" s="6"/>
      <c r="U594" s="6"/>
      <c r="V594" s="55"/>
      <c r="W594" s="6"/>
      <c r="X594" s="6"/>
      <c r="Y594" s="6"/>
      <c r="Z594" s="6"/>
      <c r="AA594" s="6"/>
      <c r="AB594" s="6"/>
      <c r="AC594" s="6"/>
    </row>
    <row r="595" spans="1:29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225"/>
      <c r="O595" s="6"/>
      <c r="P595" s="6"/>
      <c r="Q595" s="6"/>
      <c r="R595" s="6"/>
      <c r="S595" s="6"/>
      <c r="T595" s="6"/>
      <c r="U595" s="6"/>
      <c r="V595" s="55"/>
      <c r="W595" s="6"/>
      <c r="X595" s="6"/>
      <c r="Y595" s="6"/>
      <c r="Z595" s="6"/>
      <c r="AA595" s="6"/>
      <c r="AB595" s="6"/>
      <c r="AC595" s="6"/>
    </row>
    <row r="596" spans="1:29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225"/>
      <c r="O596" s="6"/>
      <c r="P596" s="6"/>
      <c r="Q596" s="6"/>
      <c r="R596" s="6"/>
      <c r="S596" s="6"/>
      <c r="T596" s="6"/>
      <c r="U596" s="6"/>
      <c r="V596" s="55"/>
      <c r="W596" s="6"/>
      <c r="X596" s="6"/>
      <c r="Y596" s="6"/>
      <c r="Z596" s="6"/>
      <c r="AA596" s="6"/>
      <c r="AB596" s="6"/>
      <c r="AC596" s="6"/>
    </row>
    <row r="597" spans="1:29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225"/>
      <c r="O597" s="6"/>
      <c r="P597" s="6"/>
      <c r="Q597" s="6"/>
      <c r="R597" s="6"/>
      <c r="S597" s="6"/>
      <c r="T597" s="6"/>
      <c r="U597" s="6"/>
      <c r="V597" s="55"/>
      <c r="W597" s="6"/>
      <c r="X597" s="6"/>
      <c r="Y597" s="6"/>
      <c r="Z597" s="6"/>
      <c r="AA597" s="6"/>
      <c r="AB597" s="6"/>
      <c r="AC597" s="6"/>
    </row>
    <row r="598" spans="1:29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225"/>
      <c r="O598" s="6"/>
      <c r="P598" s="6"/>
      <c r="Q598" s="6"/>
      <c r="R598" s="6"/>
      <c r="S598" s="6"/>
      <c r="T598" s="6"/>
      <c r="U598" s="6"/>
      <c r="V598" s="55"/>
      <c r="W598" s="6"/>
      <c r="X598" s="6"/>
      <c r="Y598" s="6"/>
      <c r="Z598" s="6"/>
      <c r="AA598" s="6"/>
      <c r="AB598" s="6"/>
      <c r="AC598" s="6"/>
    </row>
    <row r="599" spans="1:29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225"/>
      <c r="O599" s="6"/>
      <c r="P599" s="6"/>
      <c r="Q599" s="6"/>
      <c r="R599" s="6"/>
      <c r="S599" s="6"/>
      <c r="T599" s="6"/>
      <c r="U599" s="6"/>
      <c r="V599" s="55"/>
      <c r="W599" s="6"/>
      <c r="X599" s="6"/>
      <c r="Y599" s="6"/>
      <c r="Z599" s="6"/>
      <c r="AA599" s="6"/>
      <c r="AB599" s="6"/>
      <c r="AC599" s="6"/>
    </row>
    <row r="600" spans="1:29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225"/>
      <c r="O600" s="6"/>
      <c r="P600" s="6"/>
      <c r="Q600" s="6"/>
      <c r="R600" s="6"/>
      <c r="S600" s="6"/>
      <c r="T600" s="6"/>
      <c r="U600" s="6"/>
      <c r="V600" s="55"/>
      <c r="W600" s="6"/>
      <c r="X600" s="6"/>
      <c r="Y600" s="6"/>
      <c r="Z600" s="6"/>
      <c r="AA600" s="6"/>
      <c r="AB600" s="6"/>
      <c r="AC600" s="6"/>
    </row>
    <row r="601" spans="1:29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225"/>
      <c r="O601" s="6"/>
      <c r="P601" s="6"/>
      <c r="Q601" s="6"/>
      <c r="R601" s="6"/>
      <c r="S601" s="6"/>
      <c r="T601" s="6"/>
      <c r="U601" s="6"/>
      <c r="V601" s="55"/>
      <c r="W601" s="6"/>
      <c r="X601" s="6"/>
      <c r="Y601" s="6"/>
      <c r="Z601" s="6"/>
      <c r="AA601" s="6"/>
      <c r="AB601" s="6"/>
      <c r="AC601" s="6"/>
    </row>
    <row r="602" spans="1:29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225"/>
      <c r="O602" s="6"/>
      <c r="P602" s="6"/>
      <c r="Q602" s="6"/>
      <c r="R602" s="6"/>
      <c r="S602" s="6"/>
      <c r="T602" s="6"/>
      <c r="U602" s="6"/>
      <c r="V602" s="55"/>
      <c r="W602" s="6"/>
      <c r="X602" s="6"/>
      <c r="Y602" s="6"/>
      <c r="Z602" s="6"/>
      <c r="AA602" s="6"/>
      <c r="AB602" s="6"/>
      <c r="AC602" s="6"/>
    </row>
    <row r="603" spans="1:29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225"/>
      <c r="O603" s="6"/>
      <c r="P603" s="6"/>
      <c r="Q603" s="6"/>
      <c r="R603" s="6"/>
      <c r="S603" s="6"/>
      <c r="T603" s="6"/>
      <c r="U603" s="6"/>
      <c r="V603" s="55"/>
      <c r="W603" s="6"/>
      <c r="X603" s="6"/>
      <c r="Y603" s="6"/>
      <c r="Z603" s="6"/>
      <c r="AA603" s="6"/>
      <c r="AB603" s="6"/>
      <c r="AC603" s="6"/>
    </row>
    <row r="604" spans="1:29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225"/>
      <c r="O604" s="6"/>
      <c r="P604" s="6"/>
      <c r="Q604" s="6"/>
      <c r="R604" s="6"/>
      <c r="S604" s="6"/>
      <c r="T604" s="6"/>
      <c r="U604" s="6"/>
      <c r="V604" s="55"/>
      <c r="W604" s="6"/>
      <c r="X604" s="6"/>
      <c r="Y604" s="6"/>
      <c r="Z604" s="6"/>
      <c r="AA604" s="6"/>
      <c r="AB604" s="6"/>
      <c r="AC604" s="6"/>
    </row>
    <row r="605" spans="1:29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225"/>
      <c r="O605" s="6"/>
      <c r="P605" s="6"/>
      <c r="Q605" s="6"/>
      <c r="R605" s="6"/>
      <c r="S605" s="6"/>
      <c r="T605" s="6"/>
      <c r="U605" s="6"/>
      <c r="V605" s="55"/>
      <c r="W605" s="6"/>
      <c r="X605" s="6"/>
      <c r="Y605" s="6"/>
      <c r="Z605" s="6"/>
      <c r="AA605" s="6"/>
      <c r="AB605" s="6"/>
      <c r="AC605" s="6"/>
    </row>
    <row r="606" spans="1:29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225"/>
      <c r="O606" s="6"/>
      <c r="P606" s="6"/>
      <c r="Q606" s="6"/>
      <c r="R606" s="6"/>
      <c r="S606" s="6"/>
      <c r="T606" s="6"/>
      <c r="U606" s="6"/>
      <c r="V606" s="55"/>
      <c r="W606" s="6"/>
      <c r="X606" s="6"/>
      <c r="Y606" s="6"/>
      <c r="Z606" s="6"/>
      <c r="AA606" s="6"/>
      <c r="AB606" s="6"/>
      <c r="AC606" s="6"/>
    </row>
    <row r="607" spans="1:29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225"/>
      <c r="O607" s="6"/>
      <c r="P607" s="6"/>
      <c r="Q607" s="6"/>
      <c r="R607" s="6"/>
      <c r="S607" s="6"/>
      <c r="T607" s="6"/>
      <c r="U607" s="6"/>
      <c r="V607" s="55"/>
      <c r="W607" s="6"/>
      <c r="X607" s="6"/>
      <c r="Y607" s="6"/>
      <c r="Z607" s="6"/>
      <c r="AA607" s="6"/>
      <c r="AB607" s="6"/>
      <c r="AC607" s="6"/>
    </row>
    <row r="608" spans="1:29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225"/>
      <c r="O608" s="6"/>
      <c r="P608" s="6"/>
      <c r="Q608" s="6"/>
      <c r="R608" s="6"/>
      <c r="S608" s="6"/>
      <c r="T608" s="6"/>
      <c r="U608" s="6"/>
      <c r="V608" s="55"/>
      <c r="W608" s="6"/>
      <c r="X608" s="6"/>
      <c r="Y608" s="6"/>
      <c r="Z608" s="6"/>
      <c r="AA608" s="6"/>
      <c r="AB608" s="6"/>
      <c r="AC608" s="6"/>
    </row>
    <row r="609" spans="1:29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225"/>
      <c r="O609" s="6"/>
      <c r="P609" s="6"/>
      <c r="Q609" s="6"/>
      <c r="R609" s="6"/>
      <c r="S609" s="6"/>
      <c r="T609" s="6"/>
      <c r="U609" s="6"/>
      <c r="V609" s="55"/>
      <c r="W609" s="6"/>
      <c r="X609" s="6"/>
      <c r="Y609" s="6"/>
      <c r="Z609" s="6"/>
      <c r="AA609" s="6"/>
      <c r="AB609" s="6"/>
      <c r="AC609" s="6"/>
    </row>
    <row r="610" spans="1:29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225"/>
      <c r="O610" s="6"/>
      <c r="P610" s="6"/>
      <c r="Q610" s="6"/>
      <c r="R610" s="6"/>
      <c r="S610" s="6"/>
      <c r="T610" s="6"/>
      <c r="U610" s="6"/>
      <c r="V610" s="55"/>
      <c r="W610" s="6"/>
      <c r="X610" s="6"/>
      <c r="Y610" s="6"/>
      <c r="Z610" s="6"/>
      <c r="AA610" s="6"/>
      <c r="AB610" s="6"/>
      <c r="AC610" s="6"/>
    </row>
    <row r="611" spans="1:29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225"/>
      <c r="O611" s="6"/>
      <c r="P611" s="6"/>
      <c r="Q611" s="6"/>
      <c r="R611" s="6"/>
      <c r="S611" s="6"/>
      <c r="T611" s="6"/>
      <c r="U611" s="6"/>
      <c r="V611" s="55"/>
      <c r="W611" s="6"/>
      <c r="X611" s="6"/>
      <c r="Y611" s="6"/>
      <c r="Z611" s="6"/>
      <c r="AA611" s="6"/>
      <c r="AB611" s="6"/>
      <c r="AC611" s="6"/>
    </row>
    <row r="612" spans="1:29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225"/>
      <c r="O612" s="6"/>
      <c r="P612" s="6"/>
      <c r="Q612" s="6"/>
      <c r="R612" s="6"/>
      <c r="S612" s="6"/>
      <c r="T612" s="6"/>
      <c r="U612" s="6"/>
      <c r="V612" s="55"/>
      <c r="W612" s="6"/>
      <c r="X612" s="6"/>
      <c r="Y612" s="6"/>
      <c r="Z612" s="6"/>
      <c r="AA612" s="6"/>
      <c r="AB612" s="6"/>
      <c r="AC612" s="6"/>
    </row>
    <row r="613" spans="1:29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225"/>
      <c r="O613" s="6"/>
      <c r="P613" s="6"/>
      <c r="Q613" s="6"/>
      <c r="R613" s="6"/>
      <c r="S613" s="6"/>
      <c r="T613" s="6"/>
      <c r="U613" s="6"/>
      <c r="V613" s="55"/>
      <c r="W613" s="6"/>
      <c r="X613" s="6"/>
      <c r="Y613" s="6"/>
      <c r="Z613" s="6"/>
      <c r="AA613" s="6"/>
      <c r="AB613" s="6"/>
      <c r="AC613" s="6"/>
    </row>
    <row r="614" spans="1:29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225"/>
      <c r="O614" s="6"/>
      <c r="P614" s="6"/>
      <c r="Q614" s="6"/>
      <c r="R614" s="6"/>
      <c r="S614" s="6"/>
      <c r="T614" s="6"/>
      <c r="U614" s="6"/>
      <c r="V614" s="55"/>
      <c r="W614" s="6"/>
      <c r="X614" s="6"/>
      <c r="Y614" s="6"/>
      <c r="Z614" s="6"/>
      <c r="AA614" s="6"/>
      <c r="AB614" s="6"/>
      <c r="AC614" s="6"/>
    </row>
    <row r="615" spans="1:29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225"/>
      <c r="O615" s="6"/>
      <c r="P615" s="6"/>
      <c r="Q615" s="6"/>
      <c r="R615" s="6"/>
      <c r="S615" s="6"/>
      <c r="T615" s="6"/>
      <c r="U615" s="6"/>
      <c r="V615" s="55"/>
      <c r="W615" s="6"/>
      <c r="X615" s="6"/>
      <c r="Y615" s="6"/>
      <c r="Z615" s="6"/>
      <c r="AA615" s="6"/>
      <c r="AB615" s="6"/>
      <c r="AC615" s="6"/>
    </row>
    <row r="616" spans="1:29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225"/>
      <c r="O616" s="6"/>
      <c r="P616" s="6"/>
      <c r="Q616" s="6"/>
      <c r="R616" s="6"/>
      <c r="S616" s="6"/>
      <c r="T616" s="6"/>
      <c r="U616" s="6"/>
      <c r="V616" s="55"/>
      <c r="W616" s="6"/>
      <c r="X616" s="6"/>
      <c r="Y616" s="6"/>
      <c r="Z616" s="6"/>
      <c r="AA616" s="6"/>
      <c r="AB616" s="6"/>
      <c r="AC616" s="6"/>
    </row>
    <row r="617" spans="1:29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225"/>
      <c r="O617" s="6"/>
      <c r="P617" s="6"/>
      <c r="Q617" s="6"/>
      <c r="R617" s="6"/>
      <c r="S617" s="6"/>
      <c r="T617" s="6"/>
      <c r="U617" s="6"/>
      <c r="V617" s="55"/>
      <c r="W617" s="6"/>
      <c r="X617" s="6"/>
      <c r="Y617" s="6"/>
      <c r="Z617" s="6"/>
      <c r="AA617" s="6"/>
      <c r="AB617" s="6"/>
      <c r="AC617" s="6"/>
    </row>
    <row r="618" spans="1:29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225"/>
      <c r="O618" s="6"/>
      <c r="P618" s="6"/>
      <c r="Q618" s="6"/>
      <c r="R618" s="6"/>
      <c r="S618" s="6"/>
      <c r="T618" s="6"/>
      <c r="U618" s="6"/>
      <c r="V618" s="55"/>
      <c r="W618" s="6"/>
      <c r="X618" s="6"/>
      <c r="Y618" s="6"/>
      <c r="Z618" s="6"/>
      <c r="AA618" s="6"/>
      <c r="AB618" s="6"/>
      <c r="AC618" s="6"/>
    </row>
    <row r="619" spans="1:29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225"/>
      <c r="O619" s="6"/>
      <c r="P619" s="6"/>
      <c r="Q619" s="6"/>
      <c r="R619" s="6"/>
      <c r="S619" s="6"/>
      <c r="T619" s="6"/>
      <c r="U619" s="6"/>
      <c r="V619" s="55"/>
      <c r="W619" s="6"/>
      <c r="X619" s="6"/>
      <c r="Y619" s="6"/>
      <c r="Z619" s="6"/>
      <c r="AA619" s="6"/>
      <c r="AB619" s="6"/>
      <c r="AC619" s="6"/>
    </row>
    <row r="620" spans="1:29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225"/>
      <c r="O620" s="6"/>
      <c r="P620" s="6"/>
      <c r="Q620" s="6"/>
      <c r="R620" s="6"/>
      <c r="S620" s="6"/>
      <c r="T620" s="6"/>
      <c r="U620" s="6"/>
      <c r="V620" s="55"/>
      <c r="W620" s="6"/>
      <c r="X620" s="6"/>
      <c r="Y620" s="6"/>
      <c r="Z620" s="6"/>
      <c r="AA620" s="6"/>
      <c r="AB620" s="6"/>
      <c r="AC620" s="6"/>
    </row>
    <row r="621" spans="1:29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225"/>
      <c r="O621" s="6"/>
      <c r="P621" s="6"/>
      <c r="Q621" s="6"/>
      <c r="R621" s="6"/>
      <c r="S621" s="6"/>
      <c r="T621" s="6"/>
      <c r="U621" s="6"/>
      <c r="V621" s="55"/>
      <c r="W621" s="6"/>
      <c r="X621" s="6"/>
      <c r="Y621" s="6"/>
      <c r="Z621" s="6"/>
      <c r="AA621" s="6"/>
      <c r="AB621" s="6"/>
      <c r="AC621" s="6"/>
    </row>
    <row r="622" spans="1:29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225"/>
      <c r="O622" s="6"/>
      <c r="P622" s="6"/>
      <c r="Q622" s="6"/>
      <c r="R622" s="6"/>
      <c r="S622" s="6"/>
      <c r="T622" s="6"/>
      <c r="U622" s="6"/>
      <c r="V622" s="55"/>
      <c r="W622" s="6"/>
      <c r="X622" s="6"/>
      <c r="Y622" s="6"/>
      <c r="Z622" s="6"/>
      <c r="AA622" s="6"/>
      <c r="AB622" s="6"/>
      <c r="AC622" s="6"/>
    </row>
    <row r="623" spans="1:29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225"/>
      <c r="O623" s="6"/>
      <c r="P623" s="6"/>
      <c r="Q623" s="6"/>
      <c r="R623" s="6"/>
      <c r="S623" s="6"/>
      <c r="T623" s="6"/>
      <c r="U623" s="6"/>
      <c r="V623" s="55"/>
      <c r="W623" s="6"/>
      <c r="X623" s="6"/>
      <c r="Y623" s="6"/>
      <c r="Z623" s="6"/>
      <c r="AA623" s="6"/>
      <c r="AB623" s="6"/>
      <c r="AC623" s="6"/>
    </row>
    <row r="624" spans="1:29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225"/>
      <c r="O624" s="6"/>
      <c r="P624" s="6"/>
      <c r="Q624" s="6"/>
      <c r="R624" s="6"/>
      <c r="S624" s="6"/>
      <c r="T624" s="6"/>
      <c r="U624" s="6"/>
      <c r="V624" s="55"/>
      <c r="W624" s="6"/>
      <c r="X624" s="6"/>
      <c r="Y624" s="6"/>
      <c r="Z624" s="6"/>
      <c r="AA624" s="6"/>
      <c r="AB624" s="6"/>
      <c r="AC624" s="6"/>
    </row>
    <row r="625" spans="1:29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225"/>
      <c r="O625" s="6"/>
      <c r="P625" s="6"/>
      <c r="Q625" s="6"/>
      <c r="R625" s="6"/>
      <c r="S625" s="6"/>
      <c r="T625" s="6"/>
      <c r="U625" s="6"/>
      <c r="V625" s="55"/>
      <c r="W625" s="6"/>
      <c r="X625" s="6"/>
      <c r="Y625" s="6"/>
      <c r="Z625" s="6"/>
      <c r="AA625" s="6"/>
      <c r="AB625" s="6"/>
      <c r="AC625" s="6"/>
    </row>
    <row r="626" spans="1:29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225"/>
      <c r="O626" s="6"/>
      <c r="P626" s="6"/>
      <c r="Q626" s="6"/>
      <c r="R626" s="6"/>
      <c r="S626" s="6"/>
      <c r="T626" s="6"/>
      <c r="U626" s="6"/>
      <c r="V626" s="55"/>
      <c r="W626" s="6"/>
      <c r="X626" s="6"/>
      <c r="Y626" s="6"/>
      <c r="Z626" s="6"/>
      <c r="AA626" s="6"/>
      <c r="AB626" s="6"/>
      <c r="AC626" s="6"/>
    </row>
    <row r="627" spans="1:29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225"/>
      <c r="O627" s="6"/>
      <c r="P627" s="6"/>
      <c r="Q627" s="6"/>
      <c r="R627" s="6"/>
      <c r="S627" s="6"/>
      <c r="T627" s="6"/>
      <c r="U627" s="6"/>
      <c r="V627" s="55"/>
      <c r="W627" s="6"/>
      <c r="X627" s="6"/>
      <c r="Y627" s="6"/>
      <c r="Z627" s="6"/>
      <c r="AA627" s="6"/>
      <c r="AB627" s="6"/>
      <c r="AC627" s="6"/>
    </row>
    <row r="628" spans="1:29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225"/>
      <c r="O628" s="6"/>
      <c r="P628" s="6"/>
      <c r="Q628" s="6"/>
      <c r="R628" s="6"/>
      <c r="S628" s="6"/>
      <c r="T628" s="6"/>
      <c r="U628" s="6"/>
      <c r="V628" s="55"/>
      <c r="W628" s="6"/>
      <c r="X628" s="6"/>
      <c r="Y628" s="6"/>
      <c r="Z628" s="6"/>
      <c r="AA628" s="6"/>
      <c r="AB628" s="6"/>
      <c r="AC628" s="6"/>
    </row>
    <row r="629" spans="1:29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225"/>
      <c r="O629" s="6"/>
      <c r="P629" s="6"/>
      <c r="Q629" s="6"/>
      <c r="R629" s="6"/>
      <c r="S629" s="6"/>
      <c r="T629" s="6"/>
      <c r="U629" s="6"/>
      <c r="V629" s="55"/>
      <c r="W629" s="6"/>
      <c r="X629" s="6"/>
      <c r="Y629" s="6"/>
      <c r="Z629" s="6"/>
      <c r="AA629" s="6"/>
      <c r="AB629" s="6"/>
      <c r="AC629" s="6"/>
    </row>
    <row r="630" spans="1:29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225"/>
      <c r="O630" s="6"/>
      <c r="P630" s="6"/>
      <c r="Q630" s="6"/>
      <c r="R630" s="6"/>
      <c r="S630" s="6"/>
      <c r="T630" s="6"/>
      <c r="U630" s="6"/>
      <c r="V630" s="55"/>
      <c r="W630" s="6"/>
      <c r="X630" s="6"/>
      <c r="Y630" s="6"/>
      <c r="Z630" s="6"/>
      <c r="AA630" s="6"/>
      <c r="AB630" s="6"/>
      <c r="AC630" s="6"/>
    </row>
    <row r="631" spans="1:29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225"/>
      <c r="O631" s="6"/>
      <c r="P631" s="6"/>
      <c r="Q631" s="6"/>
      <c r="R631" s="6"/>
      <c r="S631" s="6"/>
      <c r="T631" s="6"/>
      <c r="U631" s="6"/>
      <c r="V631" s="55"/>
      <c r="W631" s="6"/>
      <c r="X631" s="6"/>
      <c r="Y631" s="6"/>
      <c r="Z631" s="6"/>
      <c r="AA631" s="6"/>
      <c r="AB631" s="6"/>
      <c r="AC631" s="6"/>
    </row>
    <row r="632" spans="1:29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225"/>
      <c r="O632" s="6"/>
      <c r="P632" s="6"/>
      <c r="Q632" s="6"/>
      <c r="R632" s="6"/>
      <c r="S632" s="6"/>
      <c r="T632" s="6"/>
      <c r="U632" s="6"/>
      <c r="V632" s="55"/>
      <c r="W632" s="6"/>
      <c r="X632" s="6"/>
      <c r="Y632" s="6"/>
      <c r="Z632" s="6"/>
      <c r="AA632" s="6"/>
      <c r="AB632" s="6"/>
      <c r="AC632" s="6"/>
    </row>
    <row r="633" spans="1:29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225"/>
      <c r="O633" s="6"/>
      <c r="P633" s="6"/>
      <c r="Q633" s="6"/>
      <c r="R633" s="6"/>
      <c r="S633" s="6"/>
      <c r="T633" s="6"/>
      <c r="U633" s="6"/>
      <c r="V633" s="55"/>
      <c r="W633" s="6"/>
      <c r="X633" s="6"/>
      <c r="Y633" s="6"/>
      <c r="Z633" s="6"/>
      <c r="AA633" s="6"/>
      <c r="AB633" s="6"/>
      <c r="AC633" s="6"/>
    </row>
    <row r="634" spans="1:29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225"/>
      <c r="O634" s="6"/>
      <c r="P634" s="6"/>
      <c r="Q634" s="6"/>
      <c r="R634" s="6"/>
      <c r="S634" s="6"/>
      <c r="T634" s="6"/>
      <c r="U634" s="6"/>
      <c r="V634" s="55"/>
      <c r="W634" s="6"/>
      <c r="X634" s="6"/>
      <c r="Y634" s="6"/>
      <c r="Z634" s="6"/>
      <c r="AA634" s="6"/>
      <c r="AB634" s="6"/>
      <c r="AC634" s="6"/>
    </row>
    <row r="635" spans="1:29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225"/>
      <c r="O635" s="6"/>
      <c r="P635" s="6"/>
      <c r="Q635" s="6"/>
      <c r="R635" s="6"/>
      <c r="S635" s="6"/>
      <c r="T635" s="6"/>
      <c r="U635" s="6"/>
      <c r="V635" s="55"/>
      <c r="W635" s="6"/>
      <c r="X635" s="6"/>
      <c r="Y635" s="6"/>
      <c r="Z635" s="6"/>
      <c r="AA635" s="6"/>
      <c r="AB635" s="6"/>
      <c r="AC635" s="6"/>
    </row>
    <row r="636" spans="1:29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225"/>
      <c r="O636" s="6"/>
      <c r="P636" s="6"/>
      <c r="Q636" s="6"/>
      <c r="R636" s="6"/>
      <c r="S636" s="6"/>
      <c r="T636" s="6"/>
      <c r="U636" s="6"/>
      <c r="V636" s="55"/>
      <c r="W636" s="6"/>
      <c r="X636" s="6"/>
      <c r="Y636" s="6"/>
      <c r="Z636" s="6"/>
      <c r="AA636" s="6"/>
      <c r="AB636" s="6"/>
      <c r="AC636" s="6"/>
    </row>
    <row r="637" spans="1:29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225"/>
      <c r="O637" s="6"/>
      <c r="P637" s="6"/>
      <c r="Q637" s="6"/>
      <c r="R637" s="6"/>
      <c r="S637" s="6"/>
      <c r="T637" s="6"/>
      <c r="U637" s="6"/>
      <c r="V637" s="55"/>
      <c r="W637" s="6"/>
      <c r="X637" s="6"/>
      <c r="Y637" s="6"/>
      <c r="Z637" s="6"/>
      <c r="AA637" s="6"/>
      <c r="AB637" s="6"/>
      <c r="AC637" s="6"/>
    </row>
    <row r="638" spans="1:29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225"/>
      <c r="O638" s="6"/>
      <c r="P638" s="6"/>
      <c r="Q638" s="6"/>
      <c r="R638" s="6"/>
      <c r="S638" s="6"/>
      <c r="T638" s="6"/>
      <c r="U638" s="6"/>
      <c r="V638" s="55"/>
      <c r="W638" s="6"/>
      <c r="X638" s="6"/>
      <c r="Y638" s="6"/>
      <c r="Z638" s="6"/>
      <c r="AA638" s="6"/>
      <c r="AB638" s="6"/>
      <c r="AC638" s="6"/>
    </row>
    <row r="639" spans="1:29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225"/>
      <c r="O639" s="6"/>
      <c r="P639" s="6"/>
      <c r="Q639" s="6"/>
      <c r="R639" s="6"/>
      <c r="S639" s="6"/>
      <c r="T639" s="6"/>
      <c r="U639" s="6"/>
      <c r="V639" s="55"/>
      <c r="W639" s="6"/>
      <c r="X639" s="6"/>
      <c r="Y639" s="6"/>
      <c r="Z639" s="6"/>
      <c r="AA639" s="6"/>
      <c r="AB639" s="6"/>
      <c r="AC639" s="6"/>
    </row>
    <row r="640" spans="1:29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225"/>
      <c r="O640" s="6"/>
      <c r="P640" s="6"/>
      <c r="Q640" s="6"/>
      <c r="R640" s="6"/>
      <c r="S640" s="6"/>
      <c r="T640" s="6"/>
      <c r="U640" s="6"/>
      <c r="V640" s="55"/>
      <c r="W640" s="6"/>
      <c r="X640" s="6"/>
      <c r="Y640" s="6"/>
      <c r="Z640" s="6"/>
      <c r="AA640" s="6"/>
      <c r="AB640" s="6"/>
      <c r="AC640" s="6"/>
    </row>
    <row r="641" spans="1:29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225"/>
      <c r="O641" s="6"/>
      <c r="P641" s="6"/>
      <c r="Q641" s="6"/>
      <c r="R641" s="6"/>
      <c r="S641" s="6"/>
      <c r="T641" s="6"/>
      <c r="U641" s="6"/>
      <c r="V641" s="55"/>
      <c r="W641" s="6"/>
      <c r="X641" s="6"/>
      <c r="Y641" s="6"/>
      <c r="Z641" s="6"/>
      <c r="AA641" s="6"/>
      <c r="AB641" s="6"/>
      <c r="AC641" s="6"/>
    </row>
    <row r="642" spans="1:29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225"/>
      <c r="O642" s="6"/>
      <c r="P642" s="6"/>
      <c r="Q642" s="6"/>
      <c r="R642" s="6"/>
      <c r="S642" s="6"/>
      <c r="T642" s="6"/>
      <c r="U642" s="6"/>
      <c r="V642" s="55"/>
      <c r="W642" s="6"/>
      <c r="X642" s="6"/>
      <c r="Y642" s="6"/>
      <c r="Z642" s="6"/>
      <c r="AA642" s="6"/>
      <c r="AB642" s="6"/>
      <c r="AC642" s="6"/>
    </row>
    <row r="643" spans="1:29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225"/>
      <c r="O643" s="6"/>
      <c r="P643" s="6"/>
      <c r="Q643" s="6"/>
      <c r="R643" s="6"/>
      <c r="S643" s="6"/>
      <c r="T643" s="6"/>
      <c r="U643" s="6"/>
      <c r="V643" s="55"/>
      <c r="W643" s="6"/>
      <c r="X643" s="6"/>
      <c r="Y643" s="6"/>
      <c r="Z643" s="6"/>
      <c r="AA643" s="6"/>
      <c r="AB643" s="6"/>
      <c r="AC643" s="6"/>
    </row>
    <row r="644" spans="1:29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225"/>
      <c r="O644" s="6"/>
      <c r="P644" s="6"/>
      <c r="Q644" s="6"/>
      <c r="R644" s="6"/>
      <c r="S644" s="6"/>
      <c r="T644" s="6"/>
      <c r="U644" s="6"/>
      <c r="V644" s="55"/>
      <c r="W644" s="6"/>
      <c r="X644" s="6"/>
      <c r="Y644" s="6"/>
      <c r="Z644" s="6"/>
      <c r="AA644" s="6"/>
      <c r="AB644" s="6"/>
      <c r="AC644" s="6"/>
    </row>
    <row r="645" spans="1:29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225"/>
      <c r="O645" s="6"/>
      <c r="P645" s="6"/>
      <c r="Q645" s="6"/>
      <c r="R645" s="6"/>
      <c r="S645" s="6"/>
      <c r="T645" s="6"/>
      <c r="U645" s="6"/>
      <c r="V645" s="55"/>
      <c r="W645" s="6"/>
      <c r="X645" s="6"/>
      <c r="Y645" s="6"/>
      <c r="Z645" s="6"/>
      <c r="AA645" s="6"/>
      <c r="AB645" s="6"/>
      <c r="AC645" s="6"/>
    </row>
    <row r="646" spans="1:29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225"/>
      <c r="O646" s="6"/>
      <c r="P646" s="6"/>
      <c r="Q646" s="6"/>
      <c r="R646" s="6"/>
      <c r="S646" s="6"/>
      <c r="T646" s="6"/>
      <c r="U646" s="6"/>
      <c r="V646" s="55"/>
      <c r="W646" s="6"/>
      <c r="X646" s="6"/>
      <c r="Y646" s="6"/>
      <c r="Z646" s="6"/>
      <c r="AA646" s="6"/>
      <c r="AB646" s="6"/>
      <c r="AC646" s="6"/>
    </row>
    <row r="647" spans="1:29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225"/>
      <c r="O647" s="6"/>
      <c r="P647" s="6"/>
      <c r="Q647" s="6"/>
      <c r="R647" s="6"/>
      <c r="S647" s="6"/>
      <c r="T647" s="6"/>
      <c r="U647" s="6"/>
      <c r="V647" s="55"/>
      <c r="W647" s="6"/>
      <c r="X647" s="6"/>
      <c r="Y647" s="6"/>
      <c r="Z647" s="6"/>
      <c r="AA647" s="6"/>
      <c r="AB647" s="6"/>
      <c r="AC647" s="6"/>
    </row>
    <row r="648" spans="1:29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225"/>
      <c r="O648" s="6"/>
      <c r="P648" s="6"/>
      <c r="Q648" s="6"/>
      <c r="R648" s="6"/>
      <c r="S648" s="6"/>
      <c r="T648" s="6"/>
      <c r="U648" s="6"/>
      <c r="V648" s="55"/>
      <c r="W648" s="6"/>
      <c r="X648" s="6"/>
      <c r="Y648" s="6"/>
      <c r="Z648" s="6"/>
      <c r="AA648" s="6"/>
      <c r="AB648" s="6"/>
      <c r="AC648" s="6"/>
    </row>
    <row r="649" spans="1:29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225"/>
      <c r="O649" s="6"/>
      <c r="P649" s="6"/>
      <c r="Q649" s="6"/>
      <c r="R649" s="6"/>
      <c r="S649" s="6"/>
      <c r="T649" s="6"/>
      <c r="U649" s="6"/>
      <c r="V649" s="55"/>
      <c r="W649" s="6"/>
      <c r="X649" s="6"/>
      <c r="Y649" s="6"/>
      <c r="Z649" s="6"/>
      <c r="AA649" s="6"/>
      <c r="AB649" s="6"/>
      <c r="AC649" s="6"/>
    </row>
    <row r="650" spans="1:29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225"/>
      <c r="O650" s="6"/>
      <c r="P650" s="6"/>
      <c r="Q650" s="6"/>
      <c r="R650" s="6"/>
      <c r="S650" s="6"/>
      <c r="T650" s="6"/>
      <c r="U650" s="6"/>
      <c r="V650" s="55"/>
      <c r="W650" s="6"/>
      <c r="X650" s="6"/>
      <c r="Y650" s="6"/>
      <c r="Z650" s="6"/>
      <c r="AA650" s="6"/>
      <c r="AB650" s="6"/>
      <c r="AC650" s="6"/>
    </row>
    <row r="651" spans="1:29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225"/>
      <c r="O651" s="6"/>
      <c r="P651" s="6"/>
      <c r="Q651" s="6"/>
      <c r="R651" s="6"/>
      <c r="S651" s="6"/>
      <c r="T651" s="6"/>
      <c r="U651" s="6"/>
      <c r="V651" s="55"/>
      <c r="W651" s="6"/>
      <c r="X651" s="6"/>
      <c r="Y651" s="6"/>
      <c r="Z651" s="6"/>
      <c r="AA651" s="6"/>
      <c r="AB651" s="6"/>
      <c r="AC651" s="6"/>
    </row>
    <row r="652" spans="1:29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225"/>
      <c r="O652" s="6"/>
      <c r="P652" s="6"/>
      <c r="Q652" s="6"/>
      <c r="R652" s="6"/>
      <c r="S652" s="6"/>
      <c r="T652" s="6"/>
      <c r="U652" s="6"/>
      <c r="V652" s="55"/>
      <c r="W652" s="6"/>
      <c r="X652" s="6"/>
      <c r="Y652" s="6"/>
      <c r="Z652" s="6"/>
      <c r="AA652" s="6"/>
      <c r="AB652" s="6"/>
      <c r="AC652" s="6"/>
    </row>
    <row r="653" spans="1:29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225"/>
      <c r="O653" s="6"/>
      <c r="P653" s="6"/>
      <c r="Q653" s="6"/>
      <c r="R653" s="6"/>
      <c r="S653" s="6"/>
      <c r="T653" s="6"/>
      <c r="U653" s="6"/>
      <c r="V653" s="55"/>
      <c r="W653" s="6"/>
      <c r="X653" s="6"/>
      <c r="Y653" s="6"/>
      <c r="Z653" s="6"/>
      <c r="AA653" s="6"/>
      <c r="AB653" s="6"/>
      <c r="AC653" s="6"/>
    </row>
    <row r="654" spans="1:29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225"/>
      <c r="O654" s="6"/>
      <c r="P654" s="6"/>
      <c r="Q654" s="6"/>
      <c r="R654" s="6"/>
      <c r="S654" s="6"/>
      <c r="T654" s="6"/>
      <c r="U654" s="6"/>
      <c r="V654" s="55"/>
      <c r="W654" s="6"/>
      <c r="X654" s="6"/>
      <c r="Y654" s="6"/>
      <c r="Z654" s="6"/>
      <c r="AA654" s="6"/>
      <c r="AB654" s="6"/>
      <c r="AC654" s="6"/>
    </row>
    <row r="655" spans="1:29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225"/>
      <c r="O655" s="6"/>
      <c r="P655" s="6"/>
      <c r="Q655" s="6"/>
      <c r="R655" s="6"/>
      <c r="S655" s="6"/>
      <c r="T655" s="6"/>
      <c r="U655" s="6"/>
      <c r="V655" s="55"/>
      <c r="W655" s="6"/>
      <c r="X655" s="6"/>
      <c r="Y655" s="6"/>
      <c r="Z655" s="6"/>
      <c r="AA655" s="6"/>
      <c r="AB655" s="6"/>
      <c r="AC655" s="6"/>
    </row>
    <row r="656" spans="1:29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225"/>
      <c r="O656" s="6"/>
      <c r="P656" s="6"/>
      <c r="Q656" s="6"/>
      <c r="R656" s="6"/>
      <c r="S656" s="6"/>
      <c r="T656" s="6"/>
      <c r="U656" s="6"/>
      <c r="V656" s="55"/>
      <c r="W656" s="6"/>
      <c r="X656" s="6"/>
      <c r="Y656" s="6"/>
      <c r="Z656" s="6"/>
      <c r="AA656" s="6"/>
      <c r="AB656" s="6"/>
      <c r="AC656" s="6"/>
    </row>
    <row r="657" spans="1:29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225"/>
      <c r="O657" s="6"/>
      <c r="P657" s="6"/>
      <c r="Q657" s="6"/>
      <c r="R657" s="6"/>
      <c r="S657" s="6"/>
      <c r="T657" s="6"/>
      <c r="U657" s="6"/>
      <c r="V657" s="55"/>
      <c r="W657" s="6"/>
      <c r="X657" s="6"/>
      <c r="Y657" s="6"/>
      <c r="Z657" s="6"/>
      <c r="AA657" s="6"/>
      <c r="AB657" s="6"/>
      <c r="AC657" s="6"/>
    </row>
    <row r="658" spans="1:29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225"/>
      <c r="O658" s="6"/>
      <c r="P658" s="6"/>
      <c r="Q658" s="6"/>
      <c r="R658" s="6"/>
      <c r="S658" s="6"/>
      <c r="T658" s="6"/>
      <c r="U658" s="6"/>
      <c r="V658" s="55"/>
      <c r="W658" s="6"/>
      <c r="X658" s="6"/>
      <c r="Y658" s="6"/>
      <c r="Z658" s="6"/>
      <c r="AA658" s="6"/>
      <c r="AB658" s="6"/>
      <c r="AC658" s="6"/>
    </row>
    <row r="659" spans="1:29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225"/>
      <c r="O659" s="6"/>
      <c r="P659" s="6"/>
      <c r="Q659" s="6"/>
      <c r="R659" s="6"/>
      <c r="S659" s="6"/>
      <c r="T659" s="6"/>
      <c r="U659" s="6"/>
      <c r="V659" s="55"/>
      <c r="W659" s="6"/>
      <c r="X659" s="6"/>
      <c r="Y659" s="6"/>
      <c r="Z659" s="6"/>
      <c r="AA659" s="6"/>
      <c r="AB659" s="6"/>
      <c r="AC659" s="6"/>
    </row>
    <row r="660" spans="1:29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225"/>
      <c r="O660" s="6"/>
      <c r="P660" s="6"/>
      <c r="Q660" s="6"/>
      <c r="R660" s="6"/>
      <c r="S660" s="6"/>
      <c r="T660" s="6"/>
      <c r="U660" s="6"/>
      <c r="V660" s="55"/>
      <c r="W660" s="6"/>
      <c r="X660" s="6"/>
      <c r="Y660" s="6"/>
      <c r="Z660" s="6"/>
      <c r="AA660" s="6"/>
      <c r="AB660" s="6"/>
      <c r="AC660" s="6"/>
    </row>
    <row r="661" spans="1:29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225"/>
      <c r="O661" s="6"/>
      <c r="P661" s="6"/>
      <c r="Q661" s="6"/>
      <c r="R661" s="6"/>
      <c r="S661" s="6"/>
      <c r="T661" s="6"/>
      <c r="U661" s="6"/>
      <c r="V661" s="55"/>
      <c r="W661" s="6"/>
      <c r="X661" s="6"/>
      <c r="Y661" s="6"/>
      <c r="Z661" s="6"/>
      <c r="AA661" s="6"/>
      <c r="AB661" s="6"/>
      <c r="AC661" s="6"/>
    </row>
    <row r="662" spans="1:29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225"/>
      <c r="O662" s="6"/>
      <c r="P662" s="6"/>
      <c r="Q662" s="6"/>
      <c r="R662" s="6"/>
      <c r="S662" s="6"/>
      <c r="T662" s="6"/>
      <c r="U662" s="6"/>
      <c r="V662" s="55"/>
      <c r="W662" s="6"/>
      <c r="X662" s="6"/>
      <c r="Y662" s="6"/>
      <c r="Z662" s="6"/>
      <c r="AA662" s="6"/>
      <c r="AB662" s="6"/>
      <c r="AC662" s="6"/>
    </row>
    <row r="663" spans="1:29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225"/>
      <c r="O663" s="6"/>
      <c r="P663" s="6"/>
      <c r="Q663" s="6"/>
      <c r="R663" s="6"/>
      <c r="S663" s="6"/>
      <c r="T663" s="6"/>
      <c r="U663" s="6"/>
      <c r="V663" s="55"/>
      <c r="W663" s="6"/>
      <c r="X663" s="6"/>
      <c r="Y663" s="6"/>
      <c r="Z663" s="6"/>
      <c r="AA663" s="6"/>
      <c r="AB663" s="6"/>
      <c r="AC663" s="6"/>
    </row>
    <row r="664" spans="1:29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225"/>
      <c r="O664" s="6"/>
      <c r="P664" s="6"/>
      <c r="Q664" s="6"/>
      <c r="R664" s="6"/>
      <c r="S664" s="6"/>
      <c r="T664" s="6"/>
      <c r="U664" s="6"/>
      <c r="V664" s="55"/>
      <c r="W664" s="6"/>
      <c r="X664" s="6"/>
      <c r="Y664" s="6"/>
      <c r="Z664" s="6"/>
      <c r="AA664" s="6"/>
      <c r="AB664" s="6"/>
      <c r="AC664" s="6"/>
    </row>
    <row r="665" spans="1:29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225"/>
      <c r="O665" s="6"/>
      <c r="P665" s="6"/>
      <c r="Q665" s="6"/>
      <c r="R665" s="6"/>
      <c r="S665" s="6"/>
      <c r="T665" s="6"/>
      <c r="U665" s="6"/>
      <c r="V665" s="55"/>
      <c r="W665" s="6"/>
      <c r="X665" s="6"/>
      <c r="Y665" s="6"/>
      <c r="Z665" s="6"/>
      <c r="AA665" s="6"/>
      <c r="AB665" s="6"/>
      <c r="AC665" s="6"/>
    </row>
    <row r="666" spans="1:29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225"/>
      <c r="O666" s="6"/>
      <c r="P666" s="6"/>
      <c r="Q666" s="6"/>
      <c r="R666" s="6"/>
      <c r="S666" s="6"/>
      <c r="T666" s="6"/>
      <c r="U666" s="6"/>
      <c r="V666" s="55"/>
      <c r="W666" s="6"/>
      <c r="X666" s="6"/>
      <c r="Y666" s="6"/>
      <c r="Z666" s="6"/>
      <c r="AA666" s="6"/>
      <c r="AB666" s="6"/>
      <c r="AC666" s="6"/>
    </row>
    <row r="667" spans="1:29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225"/>
      <c r="O667" s="6"/>
      <c r="P667" s="6"/>
      <c r="Q667" s="6"/>
      <c r="R667" s="6"/>
      <c r="S667" s="6"/>
      <c r="T667" s="6"/>
      <c r="U667" s="6"/>
      <c r="V667" s="55"/>
      <c r="W667" s="6"/>
      <c r="X667" s="6"/>
      <c r="Y667" s="6"/>
      <c r="Z667" s="6"/>
      <c r="AA667" s="6"/>
      <c r="AB667" s="6"/>
      <c r="AC667" s="6"/>
    </row>
    <row r="668" spans="1:29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225"/>
      <c r="O668" s="6"/>
      <c r="P668" s="6"/>
      <c r="Q668" s="6"/>
      <c r="R668" s="6"/>
      <c r="S668" s="6"/>
      <c r="T668" s="6"/>
      <c r="U668" s="6"/>
      <c r="V668" s="55"/>
      <c r="W668" s="6"/>
      <c r="X668" s="6"/>
      <c r="Y668" s="6"/>
      <c r="Z668" s="6"/>
      <c r="AA668" s="6"/>
      <c r="AB668" s="6"/>
      <c r="AC668" s="6"/>
    </row>
    <row r="669" spans="1:29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225"/>
      <c r="O669" s="6"/>
      <c r="P669" s="6"/>
      <c r="Q669" s="6"/>
      <c r="R669" s="6"/>
      <c r="S669" s="6"/>
      <c r="T669" s="6"/>
      <c r="U669" s="6"/>
      <c r="V669" s="55"/>
      <c r="W669" s="6"/>
      <c r="X669" s="6"/>
      <c r="Y669" s="6"/>
      <c r="Z669" s="6"/>
      <c r="AA669" s="6"/>
      <c r="AB669" s="6"/>
      <c r="AC669" s="6"/>
    </row>
    <row r="670" spans="1:29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225"/>
      <c r="O670" s="6"/>
      <c r="P670" s="6"/>
      <c r="Q670" s="6"/>
      <c r="R670" s="6"/>
      <c r="S670" s="6"/>
      <c r="T670" s="6"/>
      <c r="U670" s="6"/>
      <c r="V670" s="55"/>
      <c r="W670" s="6"/>
      <c r="X670" s="6"/>
      <c r="Y670" s="6"/>
      <c r="Z670" s="6"/>
      <c r="AA670" s="6"/>
      <c r="AB670" s="6"/>
      <c r="AC670" s="6"/>
    </row>
    <row r="671" spans="1:29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225"/>
      <c r="O671" s="6"/>
      <c r="P671" s="6"/>
      <c r="Q671" s="6"/>
      <c r="R671" s="6"/>
      <c r="S671" s="6"/>
      <c r="T671" s="6"/>
      <c r="U671" s="6"/>
      <c r="V671" s="55"/>
      <c r="W671" s="6"/>
      <c r="X671" s="6"/>
      <c r="Y671" s="6"/>
      <c r="Z671" s="6"/>
      <c r="AA671" s="6"/>
      <c r="AB671" s="6"/>
      <c r="AC671" s="6"/>
    </row>
    <row r="672" spans="1:29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225"/>
      <c r="O672" s="6"/>
      <c r="P672" s="6"/>
      <c r="Q672" s="6"/>
      <c r="R672" s="6"/>
      <c r="S672" s="6"/>
      <c r="T672" s="6"/>
      <c r="U672" s="6"/>
      <c r="V672" s="55"/>
      <c r="W672" s="6"/>
      <c r="X672" s="6"/>
      <c r="Y672" s="6"/>
      <c r="Z672" s="6"/>
      <c r="AA672" s="6"/>
      <c r="AB672" s="6"/>
      <c r="AC672" s="6"/>
    </row>
    <row r="673" spans="1:29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225"/>
      <c r="O673" s="6"/>
      <c r="P673" s="6"/>
      <c r="Q673" s="6"/>
      <c r="R673" s="6"/>
      <c r="S673" s="6"/>
      <c r="T673" s="6"/>
      <c r="U673" s="6"/>
      <c r="V673" s="55"/>
      <c r="W673" s="6"/>
      <c r="X673" s="6"/>
      <c r="Y673" s="6"/>
      <c r="Z673" s="6"/>
      <c r="AA673" s="6"/>
      <c r="AB673" s="6"/>
      <c r="AC673" s="6"/>
    </row>
    <row r="674" spans="1:29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225"/>
      <c r="O674" s="6"/>
      <c r="P674" s="6"/>
      <c r="Q674" s="6"/>
      <c r="R674" s="6"/>
      <c r="S674" s="6"/>
      <c r="T674" s="6"/>
      <c r="U674" s="6"/>
      <c r="V674" s="55"/>
      <c r="W674" s="6"/>
      <c r="X674" s="6"/>
      <c r="Y674" s="6"/>
      <c r="Z674" s="6"/>
      <c r="AA674" s="6"/>
      <c r="AB674" s="6"/>
      <c r="AC674" s="6"/>
    </row>
    <row r="675" spans="1:29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225"/>
      <c r="O675" s="6"/>
      <c r="P675" s="6"/>
      <c r="Q675" s="6"/>
      <c r="R675" s="6"/>
      <c r="S675" s="6"/>
      <c r="T675" s="6"/>
      <c r="U675" s="6"/>
      <c r="V675" s="55"/>
      <c r="W675" s="6"/>
      <c r="X675" s="6"/>
      <c r="Y675" s="6"/>
      <c r="Z675" s="6"/>
      <c r="AA675" s="6"/>
      <c r="AB675" s="6"/>
      <c r="AC675" s="6"/>
    </row>
    <row r="676" spans="1:29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225"/>
      <c r="O676" s="6"/>
      <c r="P676" s="6"/>
      <c r="Q676" s="6"/>
      <c r="R676" s="6"/>
      <c r="S676" s="6"/>
      <c r="T676" s="6"/>
      <c r="U676" s="6"/>
      <c r="V676" s="55"/>
      <c r="W676" s="6"/>
      <c r="X676" s="6"/>
      <c r="Y676" s="6"/>
      <c r="Z676" s="6"/>
      <c r="AA676" s="6"/>
      <c r="AB676" s="6"/>
      <c r="AC676" s="6"/>
    </row>
    <row r="677" spans="1:29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225"/>
      <c r="O677" s="6"/>
      <c r="P677" s="6"/>
      <c r="Q677" s="6"/>
      <c r="R677" s="6"/>
      <c r="S677" s="6"/>
      <c r="T677" s="6"/>
      <c r="U677" s="6"/>
      <c r="V677" s="55"/>
      <c r="W677" s="6"/>
      <c r="X677" s="6"/>
      <c r="Y677" s="6"/>
      <c r="Z677" s="6"/>
      <c r="AA677" s="6"/>
      <c r="AB677" s="6"/>
      <c r="AC677" s="6"/>
    </row>
    <row r="678" spans="1:29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225"/>
      <c r="O678" s="6"/>
      <c r="P678" s="6"/>
      <c r="Q678" s="6"/>
      <c r="R678" s="6"/>
      <c r="S678" s="6"/>
      <c r="T678" s="6"/>
      <c r="U678" s="6"/>
      <c r="V678" s="55"/>
      <c r="W678" s="6"/>
      <c r="X678" s="6"/>
      <c r="Y678" s="6"/>
      <c r="Z678" s="6"/>
      <c r="AA678" s="6"/>
      <c r="AB678" s="6"/>
      <c r="AC678" s="6"/>
    </row>
    <row r="679" spans="1:29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225"/>
      <c r="O679" s="6"/>
      <c r="P679" s="6"/>
      <c r="Q679" s="6"/>
      <c r="R679" s="6"/>
      <c r="S679" s="6"/>
      <c r="T679" s="6"/>
      <c r="U679" s="6"/>
      <c r="V679" s="55"/>
      <c r="W679" s="6"/>
      <c r="X679" s="6"/>
      <c r="Y679" s="6"/>
      <c r="Z679" s="6"/>
      <c r="AA679" s="6"/>
      <c r="AB679" s="6"/>
      <c r="AC679" s="6"/>
    </row>
    <row r="680" spans="1:29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225"/>
      <c r="O680" s="6"/>
      <c r="P680" s="6"/>
      <c r="Q680" s="6"/>
      <c r="R680" s="6"/>
      <c r="S680" s="6"/>
      <c r="T680" s="6"/>
      <c r="U680" s="6"/>
      <c r="V680" s="55"/>
      <c r="W680" s="6"/>
      <c r="X680" s="6"/>
      <c r="Y680" s="6"/>
      <c r="Z680" s="6"/>
      <c r="AA680" s="6"/>
      <c r="AB680" s="6"/>
      <c r="AC680" s="6"/>
    </row>
    <row r="681" spans="1:29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225"/>
      <c r="O681" s="6"/>
      <c r="P681" s="6"/>
      <c r="Q681" s="6"/>
      <c r="R681" s="6"/>
      <c r="S681" s="6"/>
      <c r="T681" s="6"/>
      <c r="U681" s="6"/>
      <c r="V681" s="55"/>
      <c r="W681" s="6"/>
      <c r="X681" s="6"/>
      <c r="Y681" s="6"/>
      <c r="Z681" s="6"/>
      <c r="AA681" s="6"/>
      <c r="AB681" s="6"/>
      <c r="AC681" s="6"/>
    </row>
    <row r="682" spans="1:29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225"/>
      <c r="O682" s="6"/>
      <c r="P682" s="6"/>
      <c r="Q682" s="6"/>
      <c r="R682" s="6"/>
      <c r="S682" s="6"/>
      <c r="T682" s="6"/>
      <c r="U682" s="6"/>
      <c r="V682" s="55"/>
      <c r="W682" s="6"/>
      <c r="X682" s="6"/>
      <c r="Y682" s="6"/>
      <c r="Z682" s="6"/>
      <c r="AA682" s="6"/>
      <c r="AB682" s="6"/>
      <c r="AC682" s="6"/>
    </row>
    <row r="683" spans="1:29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225"/>
      <c r="O683" s="6"/>
      <c r="P683" s="6"/>
      <c r="Q683" s="6"/>
      <c r="R683" s="6"/>
      <c r="S683" s="6"/>
      <c r="T683" s="6"/>
      <c r="U683" s="6"/>
      <c r="V683" s="55"/>
      <c r="W683" s="6"/>
      <c r="X683" s="6"/>
      <c r="Y683" s="6"/>
      <c r="Z683" s="6"/>
      <c r="AA683" s="6"/>
      <c r="AB683" s="6"/>
      <c r="AC683" s="6"/>
    </row>
    <row r="684" spans="1:29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225"/>
      <c r="O684" s="6"/>
      <c r="P684" s="6"/>
      <c r="Q684" s="6"/>
      <c r="R684" s="6"/>
      <c r="S684" s="6"/>
      <c r="T684" s="6"/>
      <c r="U684" s="6"/>
      <c r="V684" s="55"/>
      <c r="W684" s="6"/>
      <c r="X684" s="6"/>
      <c r="Y684" s="6"/>
      <c r="Z684" s="6"/>
      <c r="AA684" s="6"/>
      <c r="AB684" s="6"/>
      <c r="AC684" s="6"/>
    </row>
    <row r="685" spans="1:29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225"/>
      <c r="O685" s="6"/>
      <c r="P685" s="6"/>
      <c r="Q685" s="6"/>
      <c r="R685" s="6"/>
      <c r="S685" s="6"/>
      <c r="T685" s="6"/>
      <c r="U685" s="6"/>
      <c r="V685" s="55"/>
      <c r="W685" s="6"/>
      <c r="X685" s="6"/>
      <c r="Y685" s="6"/>
      <c r="Z685" s="6"/>
      <c r="AA685" s="6"/>
      <c r="AB685" s="6"/>
      <c r="AC685" s="6"/>
    </row>
    <row r="686" spans="1:29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225"/>
      <c r="O686" s="6"/>
      <c r="P686" s="6"/>
      <c r="Q686" s="6"/>
      <c r="R686" s="6"/>
      <c r="S686" s="6"/>
      <c r="T686" s="6"/>
      <c r="U686" s="6"/>
      <c r="V686" s="55"/>
      <c r="W686" s="6"/>
      <c r="X686" s="6"/>
      <c r="Y686" s="6"/>
      <c r="Z686" s="6"/>
      <c r="AA686" s="6"/>
      <c r="AB686" s="6"/>
      <c r="AC686" s="6"/>
    </row>
    <row r="687" spans="1:29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225"/>
      <c r="O687" s="6"/>
      <c r="P687" s="6"/>
      <c r="Q687" s="6"/>
      <c r="R687" s="6"/>
      <c r="S687" s="6"/>
      <c r="T687" s="6"/>
      <c r="U687" s="6"/>
      <c r="V687" s="55"/>
      <c r="W687" s="6"/>
      <c r="X687" s="6"/>
      <c r="Y687" s="6"/>
      <c r="Z687" s="6"/>
      <c r="AA687" s="6"/>
      <c r="AB687" s="6"/>
      <c r="AC687" s="6"/>
    </row>
    <row r="688" spans="1:29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225"/>
      <c r="O688" s="6"/>
      <c r="P688" s="6"/>
      <c r="Q688" s="6"/>
      <c r="R688" s="6"/>
      <c r="S688" s="6"/>
      <c r="T688" s="6"/>
      <c r="U688" s="6"/>
      <c r="V688" s="55"/>
      <c r="W688" s="6"/>
      <c r="X688" s="6"/>
      <c r="Y688" s="6"/>
      <c r="Z688" s="6"/>
      <c r="AA688" s="6"/>
      <c r="AB688" s="6"/>
      <c r="AC688" s="6"/>
    </row>
    <row r="689" spans="1:29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225"/>
      <c r="O689" s="6"/>
      <c r="P689" s="6"/>
      <c r="Q689" s="6"/>
      <c r="R689" s="6"/>
      <c r="S689" s="6"/>
      <c r="T689" s="6"/>
      <c r="U689" s="6"/>
      <c r="V689" s="55"/>
      <c r="W689" s="6"/>
      <c r="X689" s="6"/>
      <c r="Y689" s="6"/>
      <c r="Z689" s="6"/>
      <c r="AA689" s="6"/>
      <c r="AB689" s="6"/>
      <c r="AC689" s="6"/>
    </row>
    <row r="690" spans="1:29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225"/>
      <c r="O690" s="6"/>
      <c r="P690" s="6"/>
      <c r="Q690" s="6"/>
      <c r="R690" s="6"/>
      <c r="S690" s="6"/>
      <c r="T690" s="6"/>
      <c r="U690" s="6"/>
      <c r="V690" s="55"/>
      <c r="W690" s="6"/>
      <c r="X690" s="6"/>
      <c r="Y690" s="6"/>
      <c r="Z690" s="6"/>
      <c r="AA690" s="6"/>
      <c r="AB690" s="6"/>
      <c r="AC690" s="6"/>
    </row>
    <row r="691" spans="1:29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225"/>
      <c r="O691" s="6"/>
      <c r="P691" s="6"/>
      <c r="Q691" s="6"/>
      <c r="R691" s="6"/>
      <c r="S691" s="6"/>
      <c r="T691" s="6"/>
      <c r="U691" s="6"/>
      <c r="V691" s="55"/>
      <c r="W691" s="6"/>
      <c r="X691" s="6"/>
      <c r="Y691" s="6"/>
      <c r="Z691" s="6"/>
      <c r="AA691" s="6"/>
      <c r="AB691" s="6"/>
      <c r="AC691" s="6"/>
    </row>
    <row r="692" spans="1:29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225"/>
      <c r="O692" s="6"/>
      <c r="P692" s="6"/>
      <c r="Q692" s="6"/>
      <c r="R692" s="6"/>
      <c r="S692" s="6"/>
      <c r="T692" s="6"/>
      <c r="U692" s="6"/>
      <c r="V692" s="55"/>
      <c r="W692" s="6"/>
      <c r="X692" s="6"/>
      <c r="Y692" s="6"/>
      <c r="Z692" s="6"/>
      <c r="AA692" s="6"/>
      <c r="AB692" s="6"/>
      <c r="AC692" s="6"/>
    </row>
    <row r="693" spans="1:29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225"/>
      <c r="O693" s="6"/>
      <c r="P693" s="6"/>
      <c r="Q693" s="6"/>
      <c r="R693" s="6"/>
      <c r="S693" s="6"/>
      <c r="T693" s="6"/>
      <c r="U693" s="6"/>
      <c r="V693" s="55"/>
      <c r="W693" s="6"/>
      <c r="X693" s="6"/>
      <c r="Y693" s="6"/>
      <c r="Z693" s="6"/>
      <c r="AA693" s="6"/>
      <c r="AB693" s="6"/>
      <c r="AC693" s="6"/>
    </row>
    <row r="694" spans="1:29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225"/>
      <c r="O694" s="6"/>
      <c r="P694" s="6"/>
      <c r="Q694" s="6"/>
      <c r="R694" s="6"/>
      <c r="S694" s="6"/>
      <c r="T694" s="6"/>
      <c r="U694" s="6"/>
      <c r="V694" s="55"/>
      <c r="W694" s="6"/>
      <c r="X694" s="6"/>
      <c r="Y694" s="6"/>
      <c r="Z694" s="6"/>
      <c r="AA694" s="6"/>
      <c r="AB694" s="6"/>
      <c r="AC694" s="6"/>
    </row>
    <row r="695" spans="1:29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225"/>
      <c r="O695" s="6"/>
      <c r="P695" s="6"/>
      <c r="Q695" s="6"/>
      <c r="R695" s="6"/>
      <c r="S695" s="6"/>
      <c r="T695" s="6"/>
      <c r="U695" s="6"/>
      <c r="V695" s="55"/>
      <c r="W695" s="6"/>
      <c r="X695" s="6"/>
      <c r="Y695" s="6"/>
      <c r="Z695" s="6"/>
      <c r="AA695" s="6"/>
      <c r="AB695" s="6"/>
      <c r="AC695" s="6"/>
    </row>
    <row r="696" spans="1:29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225"/>
      <c r="O696" s="6"/>
      <c r="P696" s="6"/>
      <c r="Q696" s="6"/>
      <c r="R696" s="6"/>
      <c r="S696" s="6"/>
      <c r="T696" s="6"/>
      <c r="U696" s="6"/>
      <c r="V696" s="55"/>
      <c r="W696" s="6"/>
      <c r="X696" s="6"/>
      <c r="Y696" s="6"/>
      <c r="Z696" s="6"/>
      <c r="AA696" s="6"/>
      <c r="AB696" s="6"/>
      <c r="AC696" s="6"/>
    </row>
    <row r="697" spans="1:29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225"/>
      <c r="O697" s="6"/>
      <c r="P697" s="6"/>
      <c r="Q697" s="6"/>
      <c r="R697" s="6"/>
      <c r="S697" s="6"/>
      <c r="T697" s="6"/>
      <c r="U697" s="6"/>
      <c r="V697" s="55"/>
      <c r="W697" s="6"/>
      <c r="X697" s="6"/>
      <c r="Y697" s="6"/>
      <c r="Z697" s="6"/>
      <c r="AA697" s="6"/>
      <c r="AB697" s="6"/>
      <c r="AC697" s="6"/>
    </row>
    <row r="698" spans="1:29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225"/>
      <c r="O698" s="6"/>
      <c r="P698" s="6"/>
      <c r="Q698" s="6"/>
      <c r="R698" s="6"/>
      <c r="S698" s="6"/>
      <c r="T698" s="6"/>
      <c r="U698" s="6"/>
      <c r="V698" s="55"/>
      <c r="W698" s="6"/>
      <c r="X698" s="6"/>
      <c r="Y698" s="6"/>
      <c r="Z698" s="6"/>
      <c r="AA698" s="6"/>
      <c r="AB698" s="6"/>
      <c r="AC698" s="6"/>
    </row>
    <row r="699" spans="1:29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225"/>
      <c r="O699" s="6"/>
      <c r="P699" s="6"/>
      <c r="Q699" s="6"/>
      <c r="R699" s="6"/>
      <c r="S699" s="6"/>
      <c r="T699" s="6"/>
      <c r="U699" s="6"/>
      <c r="V699" s="55"/>
      <c r="W699" s="6"/>
      <c r="X699" s="6"/>
      <c r="Y699" s="6"/>
      <c r="Z699" s="6"/>
      <c r="AA699" s="6"/>
      <c r="AB699" s="6"/>
      <c r="AC699" s="6"/>
    </row>
    <row r="700" spans="1:29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225"/>
      <c r="O700" s="6"/>
      <c r="P700" s="6"/>
      <c r="Q700" s="6"/>
      <c r="R700" s="6"/>
      <c r="S700" s="6"/>
      <c r="T700" s="6"/>
      <c r="U700" s="6"/>
      <c r="V700" s="55"/>
      <c r="W700" s="6"/>
      <c r="X700" s="6"/>
      <c r="Y700" s="6"/>
      <c r="Z700" s="6"/>
      <c r="AA700" s="6"/>
      <c r="AB700" s="6"/>
      <c r="AC700" s="6"/>
    </row>
    <row r="701" spans="1:29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225"/>
      <c r="O701" s="6"/>
      <c r="P701" s="6"/>
      <c r="Q701" s="6"/>
      <c r="R701" s="6"/>
      <c r="S701" s="6"/>
      <c r="T701" s="6"/>
      <c r="U701" s="6"/>
      <c r="V701" s="55"/>
      <c r="W701" s="6"/>
      <c r="X701" s="6"/>
      <c r="Y701" s="6"/>
      <c r="Z701" s="6"/>
      <c r="AA701" s="6"/>
      <c r="AB701" s="6"/>
      <c r="AC701" s="6"/>
    </row>
    <row r="702" spans="1:29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225"/>
      <c r="O702" s="6"/>
      <c r="P702" s="6"/>
      <c r="Q702" s="6"/>
      <c r="R702" s="6"/>
      <c r="S702" s="6"/>
      <c r="T702" s="6"/>
      <c r="U702" s="6"/>
      <c r="V702" s="55"/>
      <c r="W702" s="6"/>
      <c r="X702" s="6"/>
      <c r="Y702" s="6"/>
      <c r="Z702" s="6"/>
      <c r="AA702" s="6"/>
      <c r="AB702" s="6"/>
      <c r="AC702" s="6"/>
    </row>
    <row r="703" spans="1:29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225"/>
      <c r="O703" s="6"/>
      <c r="P703" s="6"/>
      <c r="Q703" s="6"/>
      <c r="R703" s="6"/>
      <c r="S703" s="6"/>
      <c r="T703" s="6"/>
      <c r="U703" s="6"/>
      <c r="V703" s="55"/>
      <c r="W703" s="6"/>
      <c r="X703" s="6"/>
      <c r="Y703" s="6"/>
      <c r="Z703" s="6"/>
      <c r="AA703" s="6"/>
      <c r="AB703" s="6"/>
      <c r="AC703" s="6"/>
    </row>
    <row r="704" spans="1:29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225"/>
      <c r="O704" s="6"/>
      <c r="P704" s="6"/>
      <c r="Q704" s="6"/>
      <c r="R704" s="6"/>
      <c r="S704" s="6"/>
      <c r="T704" s="6"/>
      <c r="U704" s="6"/>
      <c r="V704" s="55"/>
      <c r="W704" s="6"/>
      <c r="X704" s="6"/>
      <c r="Y704" s="6"/>
      <c r="Z704" s="6"/>
      <c r="AA704" s="6"/>
      <c r="AB704" s="6"/>
      <c r="AC704" s="6"/>
    </row>
    <row r="705" spans="1:29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225"/>
      <c r="O705" s="6"/>
      <c r="P705" s="6"/>
      <c r="Q705" s="6"/>
      <c r="R705" s="6"/>
      <c r="S705" s="6"/>
      <c r="T705" s="6"/>
      <c r="U705" s="6"/>
      <c r="V705" s="55"/>
      <c r="W705" s="6"/>
      <c r="X705" s="6"/>
      <c r="Y705" s="6"/>
      <c r="Z705" s="6"/>
      <c r="AA705" s="6"/>
      <c r="AB705" s="6"/>
      <c r="AC705" s="6"/>
    </row>
    <row r="706" spans="1:29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225"/>
      <c r="O706" s="6"/>
      <c r="P706" s="6"/>
      <c r="Q706" s="6"/>
      <c r="R706" s="6"/>
      <c r="S706" s="6"/>
      <c r="T706" s="6"/>
      <c r="U706" s="6"/>
      <c r="V706" s="55"/>
      <c r="W706" s="6"/>
      <c r="X706" s="6"/>
      <c r="Y706" s="6"/>
      <c r="Z706" s="6"/>
      <c r="AA706" s="6"/>
      <c r="AB706" s="6"/>
      <c r="AC706" s="6"/>
    </row>
    <row r="707" spans="1:29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225"/>
      <c r="O707" s="6"/>
      <c r="P707" s="6"/>
      <c r="Q707" s="6"/>
      <c r="R707" s="6"/>
      <c r="S707" s="6"/>
      <c r="T707" s="6"/>
      <c r="U707" s="6"/>
      <c r="V707" s="55"/>
      <c r="W707" s="6"/>
      <c r="X707" s="6"/>
      <c r="Y707" s="6"/>
      <c r="Z707" s="6"/>
      <c r="AA707" s="6"/>
      <c r="AB707" s="6"/>
      <c r="AC707" s="6"/>
    </row>
    <row r="708" spans="1:29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225"/>
      <c r="O708" s="6"/>
      <c r="P708" s="6"/>
      <c r="Q708" s="6"/>
      <c r="R708" s="6"/>
      <c r="S708" s="6"/>
      <c r="T708" s="6"/>
      <c r="U708" s="6"/>
      <c r="V708" s="55"/>
      <c r="W708" s="6"/>
      <c r="X708" s="6"/>
      <c r="Y708" s="6"/>
      <c r="Z708" s="6"/>
      <c r="AA708" s="6"/>
      <c r="AB708" s="6"/>
      <c r="AC708" s="6"/>
    </row>
    <row r="709" spans="1:29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225"/>
      <c r="O709" s="6"/>
      <c r="P709" s="6"/>
      <c r="Q709" s="6"/>
      <c r="R709" s="6"/>
      <c r="S709" s="6"/>
      <c r="T709" s="6"/>
      <c r="U709" s="6"/>
      <c r="V709" s="55"/>
      <c r="W709" s="6"/>
      <c r="X709" s="6"/>
      <c r="Y709" s="6"/>
      <c r="Z709" s="6"/>
      <c r="AA709" s="6"/>
      <c r="AB709" s="6"/>
      <c r="AC709" s="6"/>
    </row>
    <row r="710" spans="1:29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225"/>
      <c r="O710" s="6"/>
      <c r="P710" s="6"/>
      <c r="Q710" s="6"/>
      <c r="R710" s="6"/>
      <c r="S710" s="6"/>
      <c r="T710" s="6"/>
      <c r="U710" s="6"/>
      <c r="V710" s="55"/>
      <c r="W710" s="6"/>
      <c r="X710" s="6"/>
      <c r="Y710" s="6"/>
      <c r="Z710" s="6"/>
      <c r="AA710" s="6"/>
      <c r="AB710" s="6"/>
      <c r="AC710" s="6"/>
    </row>
    <row r="711" spans="1:29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225"/>
      <c r="O711" s="6"/>
      <c r="P711" s="6"/>
      <c r="Q711" s="6"/>
      <c r="R711" s="6"/>
      <c r="S711" s="6"/>
      <c r="T711" s="6"/>
      <c r="U711" s="6"/>
      <c r="V711" s="55"/>
      <c r="W711" s="6"/>
      <c r="X711" s="6"/>
      <c r="Y711" s="6"/>
      <c r="Z711" s="6"/>
      <c r="AA711" s="6"/>
      <c r="AB711" s="6"/>
      <c r="AC711" s="6"/>
    </row>
    <row r="712" spans="1:29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225"/>
      <c r="O712" s="6"/>
      <c r="P712" s="6"/>
      <c r="Q712" s="6"/>
      <c r="R712" s="6"/>
      <c r="S712" s="6"/>
      <c r="T712" s="6"/>
      <c r="U712" s="6"/>
      <c r="V712" s="55"/>
      <c r="W712" s="6"/>
      <c r="X712" s="6"/>
      <c r="Y712" s="6"/>
      <c r="Z712" s="6"/>
      <c r="AA712" s="6"/>
      <c r="AB712" s="6"/>
      <c r="AC712" s="6"/>
    </row>
    <row r="713" spans="1:29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225"/>
      <c r="O713" s="6"/>
      <c r="P713" s="6"/>
      <c r="Q713" s="6"/>
      <c r="R713" s="6"/>
      <c r="S713" s="6"/>
      <c r="T713" s="6"/>
      <c r="U713" s="6"/>
      <c r="V713" s="55"/>
      <c r="W713" s="6"/>
      <c r="X713" s="6"/>
      <c r="Y713" s="6"/>
      <c r="Z713" s="6"/>
      <c r="AA713" s="6"/>
      <c r="AB713" s="6"/>
      <c r="AC713" s="6"/>
    </row>
    <row r="714" spans="1:29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225"/>
      <c r="O714" s="6"/>
      <c r="P714" s="6"/>
      <c r="Q714" s="6"/>
      <c r="R714" s="6"/>
      <c r="S714" s="6"/>
      <c r="T714" s="6"/>
      <c r="U714" s="6"/>
      <c r="V714" s="55"/>
      <c r="W714" s="6"/>
      <c r="X714" s="6"/>
      <c r="Y714" s="6"/>
      <c r="Z714" s="6"/>
      <c r="AA714" s="6"/>
      <c r="AB714" s="6"/>
      <c r="AC714" s="6"/>
    </row>
    <row r="715" spans="1:29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225"/>
      <c r="O715" s="6"/>
      <c r="P715" s="6"/>
      <c r="Q715" s="6"/>
      <c r="R715" s="6"/>
      <c r="S715" s="6"/>
      <c r="T715" s="6"/>
      <c r="U715" s="6"/>
      <c r="V715" s="55"/>
      <c r="W715" s="6"/>
      <c r="X715" s="6"/>
      <c r="Y715" s="6"/>
      <c r="Z715" s="6"/>
      <c r="AA715" s="6"/>
      <c r="AB715" s="6"/>
      <c r="AC715" s="6"/>
    </row>
    <row r="716" spans="1:29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225"/>
      <c r="O716" s="6"/>
      <c r="P716" s="6"/>
      <c r="Q716" s="6"/>
      <c r="R716" s="6"/>
      <c r="S716" s="6"/>
      <c r="T716" s="6"/>
      <c r="U716" s="6"/>
      <c r="V716" s="55"/>
      <c r="W716" s="6"/>
      <c r="X716" s="6"/>
      <c r="Y716" s="6"/>
      <c r="Z716" s="6"/>
      <c r="AA716" s="6"/>
      <c r="AB716" s="6"/>
      <c r="AC716" s="6"/>
    </row>
    <row r="717" spans="1:29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225"/>
      <c r="O717" s="6"/>
      <c r="P717" s="6"/>
      <c r="Q717" s="6"/>
      <c r="R717" s="6"/>
      <c r="S717" s="6"/>
      <c r="T717" s="6"/>
      <c r="U717" s="6"/>
      <c r="V717" s="55"/>
      <c r="W717" s="6"/>
      <c r="X717" s="6"/>
      <c r="Y717" s="6"/>
      <c r="Z717" s="6"/>
      <c r="AA717" s="6"/>
      <c r="AB717" s="6"/>
      <c r="AC717" s="6"/>
    </row>
    <row r="718" spans="1:29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225"/>
      <c r="O718" s="6"/>
      <c r="P718" s="6"/>
      <c r="Q718" s="6"/>
      <c r="R718" s="6"/>
      <c r="S718" s="6"/>
      <c r="T718" s="6"/>
      <c r="U718" s="6"/>
      <c r="V718" s="55"/>
      <c r="W718" s="6"/>
      <c r="X718" s="6"/>
      <c r="Y718" s="6"/>
      <c r="Z718" s="6"/>
      <c r="AA718" s="6"/>
      <c r="AB718" s="6"/>
      <c r="AC718" s="6"/>
    </row>
    <row r="719" spans="1:29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225"/>
      <c r="O719" s="6"/>
      <c r="P719" s="6"/>
      <c r="Q719" s="6"/>
      <c r="R719" s="6"/>
      <c r="S719" s="6"/>
      <c r="T719" s="6"/>
      <c r="U719" s="6"/>
      <c r="V719" s="55"/>
      <c r="W719" s="6"/>
      <c r="X719" s="6"/>
      <c r="Y719" s="6"/>
      <c r="Z719" s="6"/>
      <c r="AA719" s="6"/>
      <c r="AB719" s="6"/>
      <c r="AC719" s="6"/>
    </row>
    <row r="720" spans="1:29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225"/>
      <c r="O720" s="6"/>
      <c r="P720" s="6"/>
      <c r="Q720" s="6"/>
      <c r="R720" s="6"/>
      <c r="S720" s="6"/>
      <c r="T720" s="6"/>
      <c r="U720" s="6"/>
      <c r="V720" s="55"/>
      <c r="W720" s="6"/>
      <c r="X720" s="6"/>
      <c r="Y720" s="6"/>
      <c r="Z720" s="6"/>
      <c r="AA720" s="6"/>
      <c r="AB720" s="6"/>
      <c r="AC720" s="6"/>
    </row>
    <row r="721" spans="1:29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225"/>
      <c r="O721" s="6"/>
      <c r="P721" s="6"/>
      <c r="Q721" s="6"/>
      <c r="R721" s="6"/>
      <c r="S721" s="6"/>
      <c r="T721" s="6"/>
      <c r="U721" s="6"/>
      <c r="V721" s="55"/>
      <c r="W721" s="6"/>
      <c r="X721" s="6"/>
      <c r="Y721" s="6"/>
      <c r="Z721" s="6"/>
      <c r="AA721" s="6"/>
      <c r="AB721" s="6"/>
      <c r="AC721" s="6"/>
    </row>
    <row r="722" spans="1:29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225"/>
      <c r="O722" s="6"/>
      <c r="P722" s="6"/>
      <c r="Q722" s="6"/>
      <c r="R722" s="6"/>
      <c r="S722" s="6"/>
      <c r="T722" s="6"/>
      <c r="U722" s="6"/>
      <c r="V722" s="55"/>
      <c r="W722" s="6"/>
      <c r="X722" s="6"/>
      <c r="Y722" s="6"/>
      <c r="Z722" s="6"/>
      <c r="AA722" s="6"/>
      <c r="AB722" s="6"/>
      <c r="AC722" s="6"/>
    </row>
    <row r="723" spans="1:29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225"/>
      <c r="O723" s="6"/>
      <c r="P723" s="6"/>
      <c r="Q723" s="6"/>
      <c r="R723" s="6"/>
      <c r="S723" s="6"/>
      <c r="T723" s="6"/>
      <c r="U723" s="6"/>
      <c r="V723" s="55"/>
      <c r="W723" s="6"/>
      <c r="X723" s="6"/>
      <c r="Y723" s="6"/>
      <c r="Z723" s="6"/>
      <c r="AA723" s="6"/>
      <c r="AB723" s="6"/>
      <c r="AC723" s="6"/>
    </row>
    <row r="724" spans="1:29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225"/>
      <c r="O724" s="6"/>
      <c r="P724" s="6"/>
      <c r="Q724" s="6"/>
      <c r="R724" s="6"/>
      <c r="S724" s="6"/>
      <c r="T724" s="6"/>
      <c r="U724" s="6"/>
      <c r="V724" s="55"/>
      <c r="W724" s="6"/>
      <c r="X724" s="6"/>
      <c r="Y724" s="6"/>
      <c r="Z724" s="6"/>
      <c r="AA724" s="6"/>
      <c r="AB724" s="6"/>
      <c r="AC724" s="6"/>
    </row>
    <row r="725" spans="1:29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225"/>
      <c r="O725" s="6"/>
      <c r="P725" s="6"/>
      <c r="Q725" s="6"/>
      <c r="R725" s="6"/>
      <c r="S725" s="6"/>
      <c r="T725" s="6"/>
      <c r="U725" s="6"/>
      <c r="V725" s="55"/>
      <c r="W725" s="6"/>
      <c r="X725" s="6"/>
      <c r="Y725" s="6"/>
      <c r="Z725" s="6"/>
      <c r="AA725" s="6"/>
      <c r="AB725" s="6"/>
      <c r="AC725" s="6"/>
    </row>
    <row r="726" spans="1:29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225"/>
      <c r="O726" s="6"/>
      <c r="P726" s="6"/>
      <c r="Q726" s="6"/>
      <c r="R726" s="6"/>
      <c r="S726" s="6"/>
      <c r="T726" s="6"/>
      <c r="U726" s="6"/>
      <c r="V726" s="55"/>
      <c r="W726" s="6"/>
      <c r="X726" s="6"/>
      <c r="Y726" s="6"/>
      <c r="Z726" s="6"/>
      <c r="AA726" s="6"/>
      <c r="AB726" s="6"/>
      <c r="AC726" s="6"/>
    </row>
    <row r="727" spans="1:29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225"/>
      <c r="O727" s="6"/>
      <c r="P727" s="6"/>
      <c r="Q727" s="6"/>
      <c r="R727" s="6"/>
      <c r="S727" s="6"/>
      <c r="T727" s="6"/>
      <c r="U727" s="6"/>
      <c r="V727" s="55"/>
      <c r="W727" s="6"/>
      <c r="X727" s="6"/>
      <c r="Y727" s="6"/>
      <c r="Z727" s="6"/>
      <c r="AA727" s="6"/>
      <c r="AB727" s="6"/>
      <c r="AC727" s="6"/>
    </row>
    <row r="728" spans="1:29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225"/>
      <c r="O728" s="6"/>
      <c r="P728" s="6"/>
      <c r="Q728" s="6"/>
      <c r="R728" s="6"/>
      <c r="S728" s="6"/>
      <c r="T728" s="6"/>
      <c r="U728" s="6"/>
      <c r="V728" s="55"/>
      <c r="W728" s="6"/>
      <c r="X728" s="6"/>
      <c r="Y728" s="6"/>
      <c r="Z728" s="6"/>
      <c r="AA728" s="6"/>
      <c r="AB728" s="6"/>
      <c r="AC728" s="6"/>
    </row>
    <row r="729" spans="1:29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225"/>
      <c r="O729" s="6"/>
      <c r="P729" s="6"/>
      <c r="Q729" s="6"/>
      <c r="R729" s="6"/>
      <c r="S729" s="6"/>
      <c r="T729" s="6"/>
      <c r="U729" s="6"/>
      <c r="V729" s="55"/>
      <c r="W729" s="6"/>
      <c r="X729" s="6"/>
      <c r="Y729" s="6"/>
      <c r="Z729" s="6"/>
      <c r="AA729" s="6"/>
      <c r="AB729" s="6"/>
      <c r="AC729" s="6"/>
    </row>
    <row r="730" spans="1:29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225"/>
      <c r="O730" s="6"/>
      <c r="P730" s="6"/>
      <c r="Q730" s="6"/>
      <c r="R730" s="6"/>
      <c r="S730" s="6"/>
      <c r="T730" s="6"/>
      <c r="U730" s="6"/>
      <c r="V730" s="55"/>
      <c r="W730" s="6"/>
      <c r="X730" s="6"/>
      <c r="Y730" s="6"/>
      <c r="Z730" s="6"/>
      <c r="AA730" s="6"/>
      <c r="AB730" s="6"/>
      <c r="AC730" s="6"/>
    </row>
    <row r="731" spans="1:29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225"/>
      <c r="O731" s="6"/>
      <c r="P731" s="6"/>
      <c r="Q731" s="6"/>
      <c r="R731" s="6"/>
      <c r="S731" s="6"/>
      <c r="T731" s="6"/>
      <c r="U731" s="6"/>
      <c r="V731" s="55"/>
      <c r="W731" s="6"/>
      <c r="X731" s="6"/>
      <c r="Y731" s="6"/>
      <c r="Z731" s="6"/>
      <c r="AA731" s="6"/>
      <c r="AB731" s="6"/>
      <c r="AC731" s="6"/>
    </row>
    <row r="732" spans="1:29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225"/>
      <c r="O732" s="6"/>
      <c r="P732" s="6"/>
      <c r="Q732" s="6"/>
      <c r="R732" s="6"/>
      <c r="S732" s="6"/>
      <c r="T732" s="6"/>
      <c r="U732" s="6"/>
      <c r="V732" s="55"/>
      <c r="W732" s="6"/>
      <c r="X732" s="6"/>
      <c r="Y732" s="6"/>
      <c r="Z732" s="6"/>
      <c r="AA732" s="6"/>
      <c r="AB732" s="6"/>
      <c r="AC732" s="6"/>
    </row>
    <row r="733" spans="1:29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225"/>
      <c r="O733" s="6"/>
      <c r="P733" s="6"/>
      <c r="Q733" s="6"/>
      <c r="R733" s="6"/>
      <c r="S733" s="6"/>
      <c r="T733" s="6"/>
      <c r="U733" s="6"/>
      <c r="V733" s="55"/>
      <c r="W733" s="6"/>
      <c r="X733" s="6"/>
      <c r="Y733" s="6"/>
      <c r="Z733" s="6"/>
      <c r="AA733" s="6"/>
      <c r="AB733" s="6"/>
      <c r="AC733" s="6"/>
    </row>
    <row r="734" spans="1:29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225"/>
      <c r="O734" s="6"/>
      <c r="P734" s="6"/>
      <c r="Q734" s="6"/>
      <c r="R734" s="6"/>
      <c r="S734" s="6"/>
      <c r="T734" s="6"/>
      <c r="U734" s="6"/>
      <c r="V734" s="55"/>
      <c r="W734" s="6"/>
      <c r="X734" s="6"/>
      <c r="Y734" s="6"/>
      <c r="Z734" s="6"/>
      <c r="AA734" s="6"/>
      <c r="AB734" s="6"/>
      <c r="AC734" s="6"/>
    </row>
    <row r="735" spans="1:29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225"/>
      <c r="O735" s="6"/>
      <c r="P735" s="6"/>
      <c r="Q735" s="6"/>
      <c r="R735" s="6"/>
      <c r="S735" s="6"/>
      <c r="T735" s="6"/>
      <c r="U735" s="6"/>
      <c r="V735" s="55"/>
      <c r="W735" s="6"/>
      <c r="X735" s="6"/>
      <c r="Y735" s="6"/>
      <c r="Z735" s="6"/>
      <c r="AA735" s="6"/>
      <c r="AB735" s="6"/>
      <c r="AC735" s="6"/>
    </row>
    <row r="736" spans="1:29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225"/>
      <c r="O736" s="6"/>
      <c r="P736" s="6"/>
      <c r="Q736" s="6"/>
      <c r="R736" s="6"/>
      <c r="S736" s="6"/>
      <c r="T736" s="6"/>
      <c r="U736" s="6"/>
      <c r="V736" s="55"/>
      <c r="W736" s="6"/>
      <c r="X736" s="6"/>
      <c r="Y736" s="6"/>
      <c r="Z736" s="6"/>
      <c r="AA736" s="6"/>
      <c r="AB736" s="6"/>
      <c r="AC736" s="6"/>
    </row>
    <row r="737" spans="1:29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225"/>
      <c r="O737" s="6"/>
      <c r="P737" s="6"/>
      <c r="Q737" s="6"/>
      <c r="R737" s="6"/>
      <c r="S737" s="6"/>
      <c r="T737" s="6"/>
      <c r="U737" s="6"/>
      <c r="V737" s="55"/>
      <c r="W737" s="6"/>
      <c r="X737" s="6"/>
      <c r="Y737" s="6"/>
      <c r="Z737" s="6"/>
      <c r="AA737" s="6"/>
      <c r="AB737" s="6"/>
      <c r="AC737" s="6"/>
    </row>
    <row r="738" spans="1:29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225"/>
      <c r="O738" s="6"/>
      <c r="P738" s="6"/>
      <c r="Q738" s="6"/>
      <c r="R738" s="6"/>
      <c r="S738" s="6"/>
      <c r="T738" s="6"/>
      <c r="U738" s="6"/>
      <c r="V738" s="55"/>
      <c r="W738" s="6"/>
      <c r="X738" s="6"/>
      <c r="Y738" s="6"/>
      <c r="Z738" s="6"/>
      <c r="AA738" s="6"/>
      <c r="AB738" s="6"/>
      <c r="AC738" s="6"/>
    </row>
    <row r="739" spans="1:29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225"/>
      <c r="O739" s="6"/>
      <c r="P739" s="6"/>
      <c r="Q739" s="6"/>
      <c r="R739" s="6"/>
      <c r="S739" s="6"/>
      <c r="T739" s="6"/>
      <c r="U739" s="6"/>
      <c r="V739" s="55"/>
      <c r="W739" s="6"/>
      <c r="X739" s="6"/>
      <c r="Y739" s="6"/>
      <c r="Z739" s="6"/>
      <c r="AA739" s="6"/>
      <c r="AB739" s="6"/>
      <c r="AC739" s="6"/>
    </row>
    <row r="740" spans="1:29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225"/>
      <c r="O740" s="6"/>
      <c r="P740" s="6"/>
      <c r="Q740" s="6"/>
      <c r="R740" s="6"/>
      <c r="S740" s="6"/>
      <c r="T740" s="6"/>
      <c r="U740" s="6"/>
      <c r="V740" s="55"/>
      <c r="W740" s="6"/>
      <c r="X740" s="6"/>
      <c r="Y740" s="6"/>
      <c r="Z740" s="6"/>
      <c r="AA740" s="6"/>
      <c r="AB740" s="6"/>
      <c r="AC740" s="6"/>
    </row>
    <row r="741" spans="1:29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225"/>
      <c r="O741" s="6"/>
      <c r="P741" s="6"/>
      <c r="Q741" s="6"/>
      <c r="R741" s="6"/>
      <c r="S741" s="6"/>
      <c r="T741" s="6"/>
      <c r="U741" s="6"/>
      <c r="V741" s="55"/>
      <c r="W741" s="6"/>
      <c r="X741" s="6"/>
      <c r="Y741" s="6"/>
      <c r="Z741" s="6"/>
      <c r="AA741" s="6"/>
      <c r="AB741" s="6"/>
      <c r="AC741" s="6"/>
    </row>
    <row r="742" spans="1:29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225"/>
      <c r="O742" s="6"/>
      <c r="P742" s="6"/>
      <c r="Q742" s="6"/>
      <c r="R742" s="6"/>
      <c r="S742" s="6"/>
      <c r="T742" s="6"/>
      <c r="U742" s="6"/>
      <c r="V742" s="55"/>
      <c r="W742" s="6"/>
      <c r="X742" s="6"/>
      <c r="Y742" s="6"/>
      <c r="Z742" s="6"/>
      <c r="AA742" s="6"/>
      <c r="AB742" s="6"/>
      <c r="AC742" s="6"/>
    </row>
    <row r="743" spans="1:29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225"/>
      <c r="O743" s="6"/>
      <c r="P743" s="6"/>
      <c r="Q743" s="6"/>
      <c r="R743" s="6"/>
      <c r="S743" s="6"/>
      <c r="T743" s="6"/>
      <c r="U743" s="6"/>
      <c r="V743" s="55"/>
      <c r="W743" s="6"/>
      <c r="X743" s="6"/>
      <c r="Y743" s="6"/>
      <c r="Z743" s="6"/>
      <c r="AA743" s="6"/>
      <c r="AB743" s="6"/>
      <c r="AC743" s="6"/>
    </row>
    <row r="744" spans="1:29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225"/>
      <c r="O744" s="6"/>
      <c r="P744" s="6"/>
      <c r="Q744" s="6"/>
      <c r="R744" s="6"/>
      <c r="S744" s="6"/>
      <c r="T744" s="6"/>
      <c r="U744" s="6"/>
      <c r="V744" s="55"/>
      <c r="W744" s="6"/>
      <c r="X744" s="6"/>
      <c r="Y744" s="6"/>
      <c r="Z744" s="6"/>
      <c r="AA744" s="6"/>
      <c r="AB744" s="6"/>
      <c r="AC744" s="6"/>
    </row>
    <row r="745" spans="1:29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225"/>
      <c r="O745" s="6"/>
      <c r="P745" s="6"/>
      <c r="Q745" s="6"/>
      <c r="R745" s="6"/>
      <c r="S745" s="6"/>
      <c r="T745" s="6"/>
      <c r="U745" s="6"/>
      <c r="V745" s="55"/>
      <c r="W745" s="6"/>
      <c r="X745" s="6"/>
      <c r="Y745" s="6"/>
      <c r="Z745" s="6"/>
      <c r="AA745" s="6"/>
      <c r="AB745" s="6"/>
      <c r="AC745" s="6"/>
    </row>
    <row r="746" spans="1:29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225"/>
      <c r="O746" s="6"/>
      <c r="P746" s="6"/>
      <c r="Q746" s="6"/>
      <c r="R746" s="6"/>
      <c r="S746" s="6"/>
      <c r="T746" s="6"/>
      <c r="U746" s="6"/>
      <c r="V746" s="55"/>
      <c r="W746" s="6"/>
      <c r="X746" s="6"/>
      <c r="Y746" s="6"/>
      <c r="Z746" s="6"/>
      <c r="AA746" s="6"/>
      <c r="AB746" s="6"/>
      <c r="AC746" s="6"/>
    </row>
    <row r="747" spans="1:29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225"/>
      <c r="O747" s="6"/>
      <c r="P747" s="6"/>
      <c r="Q747" s="6"/>
      <c r="R747" s="6"/>
      <c r="S747" s="6"/>
      <c r="T747" s="6"/>
      <c r="U747" s="6"/>
      <c r="V747" s="55"/>
      <c r="W747" s="6"/>
      <c r="X747" s="6"/>
      <c r="Y747" s="6"/>
      <c r="Z747" s="6"/>
      <c r="AA747" s="6"/>
      <c r="AB747" s="6"/>
      <c r="AC747" s="6"/>
    </row>
    <row r="748" spans="1:29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225"/>
      <c r="O748" s="6"/>
      <c r="P748" s="6"/>
      <c r="Q748" s="6"/>
      <c r="R748" s="6"/>
      <c r="S748" s="6"/>
      <c r="T748" s="6"/>
      <c r="U748" s="6"/>
      <c r="V748" s="55"/>
      <c r="W748" s="6"/>
      <c r="X748" s="6"/>
      <c r="Y748" s="6"/>
      <c r="Z748" s="6"/>
      <c r="AA748" s="6"/>
      <c r="AB748" s="6"/>
      <c r="AC748" s="6"/>
    </row>
    <row r="749" spans="1:29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225"/>
      <c r="O749" s="6"/>
      <c r="P749" s="6"/>
      <c r="Q749" s="6"/>
      <c r="R749" s="6"/>
      <c r="S749" s="6"/>
      <c r="T749" s="6"/>
      <c r="U749" s="6"/>
      <c r="V749" s="55"/>
      <c r="W749" s="6"/>
      <c r="X749" s="6"/>
      <c r="Y749" s="6"/>
      <c r="Z749" s="6"/>
      <c r="AA749" s="6"/>
      <c r="AB749" s="6"/>
      <c r="AC749" s="6"/>
    </row>
    <row r="750" spans="1:29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225"/>
      <c r="O750" s="6"/>
      <c r="P750" s="6"/>
      <c r="Q750" s="6"/>
      <c r="R750" s="6"/>
      <c r="S750" s="6"/>
      <c r="T750" s="6"/>
      <c r="U750" s="6"/>
      <c r="V750" s="55"/>
      <c r="W750" s="6"/>
      <c r="X750" s="6"/>
      <c r="Y750" s="6"/>
      <c r="Z750" s="6"/>
      <c r="AA750" s="6"/>
      <c r="AB750" s="6"/>
      <c r="AC750" s="6"/>
    </row>
    <row r="751" spans="1:29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225"/>
      <c r="O751" s="6"/>
      <c r="P751" s="6"/>
      <c r="Q751" s="6"/>
      <c r="R751" s="6"/>
      <c r="S751" s="6"/>
      <c r="T751" s="6"/>
      <c r="U751" s="6"/>
      <c r="V751" s="55"/>
      <c r="W751" s="6"/>
      <c r="X751" s="6"/>
      <c r="Y751" s="6"/>
      <c r="Z751" s="6"/>
      <c r="AA751" s="6"/>
      <c r="AB751" s="6"/>
      <c r="AC751" s="6"/>
    </row>
    <row r="752" spans="1:29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225"/>
      <c r="O752" s="6"/>
      <c r="P752" s="6"/>
      <c r="Q752" s="6"/>
      <c r="R752" s="6"/>
      <c r="S752" s="6"/>
      <c r="T752" s="6"/>
      <c r="U752" s="6"/>
      <c r="V752" s="55"/>
      <c r="W752" s="6"/>
      <c r="X752" s="6"/>
      <c r="Y752" s="6"/>
      <c r="Z752" s="6"/>
      <c r="AA752" s="6"/>
      <c r="AB752" s="6"/>
      <c r="AC752" s="6"/>
    </row>
    <row r="753" spans="1:29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225"/>
      <c r="O753" s="6"/>
      <c r="P753" s="6"/>
      <c r="Q753" s="6"/>
      <c r="R753" s="6"/>
      <c r="S753" s="6"/>
      <c r="T753" s="6"/>
      <c r="U753" s="6"/>
      <c r="V753" s="55"/>
      <c r="W753" s="6"/>
      <c r="X753" s="6"/>
      <c r="Y753" s="6"/>
      <c r="Z753" s="6"/>
      <c r="AA753" s="6"/>
      <c r="AB753" s="6"/>
      <c r="AC753" s="6"/>
    </row>
    <row r="754" spans="1:29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225"/>
      <c r="O754" s="6"/>
      <c r="P754" s="6"/>
      <c r="Q754" s="6"/>
      <c r="R754" s="6"/>
      <c r="S754" s="6"/>
      <c r="T754" s="6"/>
      <c r="U754" s="6"/>
      <c r="V754" s="55"/>
      <c r="W754" s="6"/>
      <c r="X754" s="6"/>
      <c r="Y754" s="6"/>
      <c r="Z754" s="6"/>
      <c r="AA754" s="6"/>
      <c r="AB754" s="6"/>
      <c r="AC754" s="6"/>
    </row>
    <row r="755" spans="1:29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225"/>
      <c r="O755" s="6"/>
      <c r="P755" s="6"/>
      <c r="Q755" s="6"/>
      <c r="R755" s="6"/>
      <c r="S755" s="6"/>
      <c r="T755" s="6"/>
      <c r="U755" s="6"/>
      <c r="V755" s="55"/>
      <c r="W755" s="6"/>
      <c r="X755" s="6"/>
      <c r="Y755" s="6"/>
      <c r="Z755" s="6"/>
      <c r="AA755" s="6"/>
      <c r="AB755" s="6"/>
      <c r="AC755" s="6"/>
    </row>
    <row r="756" spans="1:29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225"/>
      <c r="O756" s="6"/>
      <c r="P756" s="6"/>
      <c r="Q756" s="6"/>
      <c r="R756" s="6"/>
      <c r="S756" s="6"/>
      <c r="T756" s="6"/>
      <c r="U756" s="6"/>
      <c r="V756" s="55"/>
      <c r="W756" s="6"/>
      <c r="X756" s="6"/>
      <c r="Y756" s="6"/>
      <c r="Z756" s="6"/>
      <c r="AA756" s="6"/>
      <c r="AB756" s="6"/>
      <c r="AC756" s="6"/>
    </row>
    <row r="757" spans="1:29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225"/>
      <c r="O757" s="6"/>
      <c r="P757" s="6"/>
      <c r="Q757" s="6"/>
      <c r="R757" s="6"/>
      <c r="S757" s="6"/>
      <c r="T757" s="6"/>
      <c r="U757" s="6"/>
      <c r="V757" s="55"/>
      <c r="W757" s="6"/>
      <c r="X757" s="6"/>
      <c r="Y757" s="6"/>
      <c r="Z757" s="6"/>
      <c r="AA757" s="6"/>
      <c r="AB757" s="6"/>
      <c r="AC757" s="6"/>
    </row>
    <row r="758" spans="1:29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225"/>
      <c r="O758" s="6"/>
      <c r="P758" s="6"/>
      <c r="Q758" s="6"/>
      <c r="R758" s="6"/>
      <c r="S758" s="6"/>
      <c r="T758" s="6"/>
      <c r="U758" s="6"/>
      <c r="V758" s="55"/>
      <c r="W758" s="6"/>
      <c r="X758" s="6"/>
      <c r="Y758" s="6"/>
      <c r="Z758" s="6"/>
      <c r="AA758" s="6"/>
      <c r="AB758" s="6"/>
      <c r="AC758" s="6"/>
    </row>
    <row r="759" spans="1:29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225"/>
      <c r="O759" s="6"/>
      <c r="P759" s="6"/>
      <c r="Q759" s="6"/>
      <c r="R759" s="6"/>
      <c r="S759" s="6"/>
      <c r="T759" s="6"/>
      <c r="U759" s="6"/>
      <c r="V759" s="55"/>
      <c r="W759" s="6"/>
      <c r="X759" s="6"/>
      <c r="Y759" s="6"/>
      <c r="Z759" s="6"/>
      <c r="AA759" s="6"/>
      <c r="AB759" s="6"/>
      <c r="AC759" s="6"/>
    </row>
    <row r="760" spans="1:29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225"/>
      <c r="O760" s="6"/>
      <c r="P760" s="6"/>
      <c r="Q760" s="6"/>
      <c r="R760" s="6"/>
      <c r="S760" s="6"/>
      <c r="T760" s="6"/>
      <c r="U760" s="6"/>
      <c r="V760" s="55"/>
      <c r="W760" s="6"/>
      <c r="X760" s="6"/>
      <c r="Y760" s="6"/>
      <c r="Z760" s="6"/>
      <c r="AA760" s="6"/>
      <c r="AB760" s="6"/>
      <c r="AC760" s="6"/>
    </row>
    <row r="761" spans="1:29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225"/>
      <c r="O761" s="6"/>
      <c r="P761" s="6"/>
      <c r="Q761" s="6"/>
      <c r="R761" s="6"/>
      <c r="S761" s="6"/>
      <c r="T761" s="6"/>
      <c r="U761" s="6"/>
      <c r="V761" s="55"/>
      <c r="W761" s="6"/>
      <c r="X761" s="6"/>
      <c r="Y761" s="6"/>
      <c r="Z761" s="6"/>
      <c r="AA761" s="6"/>
      <c r="AB761" s="6"/>
      <c r="AC761" s="6"/>
    </row>
    <row r="762" spans="1:29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225"/>
      <c r="O762" s="6"/>
      <c r="P762" s="6"/>
      <c r="Q762" s="6"/>
      <c r="R762" s="6"/>
      <c r="S762" s="6"/>
      <c r="T762" s="6"/>
      <c r="U762" s="6"/>
      <c r="V762" s="55"/>
      <c r="W762" s="6"/>
      <c r="X762" s="6"/>
      <c r="Y762" s="6"/>
      <c r="Z762" s="6"/>
      <c r="AA762" s="6"/>
      <c r="AB762" s="6"/>
      <c r="AC762" s="6"/>
    </row>
    <row r="763" spans="1:29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225"/>
      <c r="O763" s="6"/>
      <c r="P763" s="6"/>
      <c r="Q763" s="6"/>
      <c r="R763" s="6"/>
      <c r="S763" s="6"/>
      <c r="T763" s="6"/>
      <c r="U763" s="6"/>
      <c r="V763" s="55"/>
      <c r="W763" s="6"/>
      <c r="X763" s="6"/>
      <c r="Y763" s="6"/>
      <c r="Z763" s="6"/>
      <c r="AA763" s="6"/>
      <c r="AB763" s="6"/>
      <c r="AC763" s="6"/>
    </row>
    <row r="764" spans="1:29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225"/>
      <c r="O764" s="6"/>
      <c r="P764" s="6"/>
      <c r="Q764" s="6"/>
      <c r="R764" s="6"/>
      <c r="S764" s="6"/>
      <c r="T764" s="6"/>
      <c r="U764" s="6"/>
      <c r="V764" s="55"/>
      <c r="W764" s="6"/>
      <c r="X764" s="6"/>
      <c r="Y764" s="6"/>
      <c r="Z764" s="6"/>
      <c r="AA764" s="6"/>
      <c r="AB764" s="6"/>
      <c r="AC764" s="6"/>
    </row>
    <row r="765" spans="1:29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225"/>
      <c r="O765" s="6"/>
      <c r="P765" s="6"/>
      <c r="Q765" s="6"/>
      <c r="R765" s="6"/>
      <c r="S765" s="6"/>
      <c r="T765" s="6"/>
      <c r="U765" s="6"/>
      <c r="V765" s="55"/>
      <c r="W765" s="6"/>
      <c r="X765" s="6"/>
      <c r="Y765" s="6"/>
      <c r="Z765" s="6"/>
      <c r="AA765" s="6"/>
      <c r="AB765" s="6"/>
      <c r="AC765" s="6"/>
    </row>
    <row r="766" spans="1:29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225"/>
      <c r="O766" s="6"/>
      <c r="P766" s="6"/>
      <c r="Q766" s="6"/>
      <c r="R766" s="6"/>
      <c r="S766" s="6"/>
      <c r="T766" s="6"/>
      <c r="U766" s="6"/>
      <c r="V766" s="55"/>
      <c r="W766" s="6"/>
      <c r="X766" s="6"/>
      <c r="Y766" s="6"/>
      <c r="Z766" s="6"/>
      <c r="AA766" s="6"/>
      <c r="AB766" s="6"/>
      <c r="AC766" s="6"/>
    </row>
    <row r="767" spans="1:29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225"/>
      <c r="O767" s="6"/>
      <c r="P767" s="6"/>
      <c r="Q767" s="6"/>
      <c r="R767" s="6"/>
      <c r="S767" s="6"/>
      <c r="T767" s="6"/>
      <c r="U767" s="6"/>
      <c r="V767" s="55"/>
      <c r="W767" s="6"/>
      <c r="X767" s="6"/>
      <c r="Y767" s="6"/>
      <c r="Z767" s="6"/>
      <c r="AA767" s="6"/>
      <c r="AB767" s="6"/>
      <c r="AC767" s="6"/>
    </row>
    <row r="768" spans="1:29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225"/>
      <c r="O768" s="6"/>
      <c r="P768" s="6"/>
      <c r="Q768" s="6"/>
      <c r="R768" s="6"/>
      <c r="S768" s="6"/>
      <c r="T768" s="6"/>
      <c r="U768" s="6"/>
      <c r="V768" s="55"/>
      <c r="W768" s="6"/>
      <c r="X768" s="6"/>
      <c r="Y768" s="6"/>
      <c r="Z768" s="6"/>
      <c r="AA768" s="6"/>
      <c r="AB768" s="6"/>
      <c r="AC768" s="6"/>
    </row>
    <row r="769" spans="1:29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225"/>
      <c r="O769" s="6"/>
      <c r="P769" s="6"/>
      <c r="Q769" s="6"/>
      <c r="R769" s="6"/>
      <c r="S769" s="6"/>
      <c r="T769" s="6"/>
      <c r="U769" s="6"/>
      <c r="V769" s="55"/>
      <c r="W769" s="6"/>
      <c r="X769" s="6"/>
      <c r="Y769" s="6"/>
      <c r="Z769" s="6"/>
      <c r="AA769" s="6"/>
      <c r="AB769" s="6"/>
      <c r="AC769" s="6"/>
    </row>
    <row r="770" spans="1:29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225"/>
      <c r="O770" s="6"/>
      <c r="P770" s="6"/>
      <c r="Q770" s="6"/>
      <c r="R770" s="6"/>
      <c r="S770" s="6"/>
      <c r="T770" s="6"/>
      <c r="U770" s="6"/>
      <c r="V770" s="55"/>
      <c r="W770" s="6"/>
      <c r="X770" s="6"/>
      <c r="Y770" s="6"/>
      <c r="Z770" s="6"/>
      <c r="AA770" s="6"/>
      <c r="AB770" s="6"/>
      <c r="AC770" s="6"/>
    </row>
    <row r="771" spans="1:29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225"/>
      <c r="O771" s="6"/>
      <c r="P771" s="6"/>
      <c r="Q771" s="6"/>
      <c r="R771" s="6"/>
      <c r="S771" s="6"/>
      <c r="T771" s="6"/>
      <c r="U771" s="6"/>
      <c r="V771" s="55"/>
      <c r="W771" s="6"/>
      <c r="X771" s="6"/>
      <c r="Y771" s="6"/>
      <c r="Z771" s="6"/>
      <c r="AA771" s="6"/>
      <c r="AB771" s="6"/>
      <c r="AC771" s="6"/>
    </row>
    <row r="772" spans="1:29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225"/>
      <c r="O772" s="6"/>
      <c r="P772" s="6"/>
      <c r="Q772" s="6"/>
      <c r="R772" s="6"/>
      <c r="S772" s="6"/>
      <c r="T772" s="6"/>
      <c r="U772" s="6"/>
      <c r="V772" s="55"/>
      <c r="W772" s="6"/>
      <c r="X772" s="6"/>
      <c r="Y772" s="6"/>
      <c r="Z772" s="6"/>
      <c r="AA772" s="6"/>
      <c r="AB772" s="6"/>
      <c r="AC772" s="6"/>
    </row>
    <row r="773" spans="1:29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225"/>
      <c r="O773" s="6"/>
      <c r="P773" s="6"/>
      <c r="Q773" s="6"/>
      <c r="R773" s="6"/>
      <c r="S773" s="6"/>
      <c r="T773" s="6"/>
      <c r="U773" s="6"/>
      <c r="V773" s="55"/>
      <c r="W773" s="6"/>
      <c r="X773" s="6"/>
      <c r="Y773" s="6"/>
      <c r="Z773" s="6"/>
      <c r="AA773" s="6"/>
      <c r="AB773" s="6"/>
      <c r="AC773" s="6"/>
    </row>
    <row r="774" spans="1:29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225"/>
      <c r="O774" s="6"/>
      <c r="P774" s="6"/>
      <c r="Q774" s="6"/>
      <c r="R774" s="6"/>
      <c r="S774" s="6"/>
      <c r="T774" s="6"/>
      <c r="U774" s="6"/>
      <c r="V774" s="55"/>
      <c r="W774" s="6"/>
      <c r="X774" s="6"/>
      <c r="Y774" s="6"/>
      <c r="Z774" s="6"/>
      <c r="AA774" s="6"/>
      <c r="AB774" s="6"/>
      <c r="AC774" s="6"/>
    </row>
    <row r="775" spans="1:29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225"/>
      <c r="O775" s="6"/>
      <c r="P775" s="6"/>
      <c r="Q775" s="6"/>
      <c r="R775" s="6"/>
      <c r="S775" s="6"/>
      <c r="T775" s="6"/>
      <c r="U775" s="6"/>
      <c r="V775" s="55"/>
      <c r="W775" s="6"/>
      <c r="X775" s="6"/>
      <c r="Y775" s="6"/>
      <c r="Z775" s="6"/>
      <c r="AA775" s="6"/>
      <c r="AB775" s="6"/>
      <c r="AC775" s="6"/>
    </row>
    <row r="776" spans="1:29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225"/>
      <c r="O776" s="6"/>
      <c r="P776" s="6"/>
      <c r="Q776" s="6"/>
      <c r="R776" s="6"/>
      <c r="S776" s="6"/>
      <c r="T776" s="6"/>
      <c r="U776" s="6"/>
      <c r="V776" s="55"/>
      <c r="W776" s="6"/>
      <c r="X776" s="6"/>
      <c r="Y776" s="6"/>
      <c r="Z776" s="6"/>
      <c r="AA776" s="6"/>
      <c r="AB776" s="6"/>
      <c r="AC776" s="6"/>
    </row>
    <row r="777" spans="1:29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225"/>
      <c r="O777" s="6"/>
      <c r="P777" s="6"/>
      <c r="Q777" s="6"/>
      <c r="R777" s="6"/>
      <c r="S777" s="6"/>
      <c r="T777" s="6"/>
      <c r="U777" s="6"/>
      <c r="V777" s="55"/>
      <c r="W777" s="6"/>
      <c r="X777" s="6"/>
      <c r="Y777" s="6"/>
      <c r="Z777" s="6"/>
      <c r="AA777" s="6"/>
      <c r="AB777" s="6"/>
      <c r="AC777" s="6"/>
    </row>
    <row r="778" spans="1:29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225"/>
      <c r="O778" s="6"/>
      <c r="P778" s="6"/>
      <c r="Q778" s="6"/>
      <c r="R778" s="6"/>
      <c r="S778" s="6"/>
      <c r="T778" s="6"/>
      <c r="U778" s="6"/>
      <c r="V778" s="55"/>
      <c r="W778" s="6"/>
      <c r="X778" s="6"/>
      <c r="Y778" s="6"/>
      <c r="Z778" s="6"/>
      <c r="AA778" s="6"/>
      <c r="AB778" s="6"/>
      <c r="AC778" s="6"/>
    </row>
    <row r="779" spans="1:29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225"/>
      <c r="O779" s="6"/>
      <c r="P779" s="6"/>
      <c r="Q779" s="6"/>
      <c r="R779" s="6"/>
      <c r="S779" s="6"/>
      <c r="T779" s="6"/>
      <c r="U779" s="6"/>
      <c r="V779" s="55"/>
      <c r="W779" s="6"/>
      <c r="X779" s="6"/>
      <c r="Y779" s="6"/>
      <c r="Z779" s="6"/>
      <c r="AA779" s="6"/>
      <c r="AB779" s="6"/>
      <c r="AC779" s="6"/>
    </row>
    <row r="780" spans="1:29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225"/>
      <c r="O780" s="6"/>
      <c r="P780" s="6"/>
      <c r="Q780" s="6"/>
      <c r="R780" s="6"/>
      <c r="S780" s="6"/>
      <c r="T780" s="6"/>
      <c r="U780" s="6"/>
      <c r="V780" s="55"/>
      <c r="W780" s="6"/>
      <c r="X780" s="6"/>
      <c r="Y780" s="6"/>
      <c r="Z780" s="6"/>
      <c r="AA780" s="6"/>
      <c r="AB780" s="6"/>
      <c r="AC780" s="6"/>
    </row>
    <row r="781" spans="1:29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225"/>
      <c r="O781" s="6"/>
      <c r="P781" s="6"/>
      <c r="Q781" s="6"/>
      <c r="R781" s="6"/>
      <c r="S781" s="6"/>
      <c r="T781" s="6"/>
      <c r="U781" s="6"/>
      <c r="V781" s="55"/>
      <c r="W781" s="6"/>
      <c r="X781" s="6"/>
      <c r="Y781" s="6"/>
      <c r="Z781" s="6"/>
      <c r="AA781" s="6"/>
      <c r="AB781" s="6"/>
      <c r="AC781" s="6"/>
    </row>
    <row r="782" spans="1:29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225"/>
      <c r="O782" s="6"/>
      <c r="P782" s="6"/>
      <c r="Q782" s="6"/>
      <c r="R782" s="6"/>
      <c r="S782" s="6"/>
      <c r="T782" s="6"/>
      <c r="U782" s="6"/>
      <c r="V782" s="55"/>
      <c r="W782" s="6"/>
      <c r="X782" s="6"/>
      <c r="Y782" s="6"/>
      <c r="Z782" s="6"/>
      <c r="AA782" s="6"/>
      <c r="AB782" s="6"/>
      <c r="AC782" s="6"/>
    </row>
    <row r="783" spans="1:29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225"/>
      <c r="O783" s="6"/>
      <c r="P783" s="6"/>
      <c r="Q783" s="6"/>
      <c r="R783" s="6"/>
      <c r="S783" s="6"/>
      <c r="T783" s="6"/>
      <c r="U783" s="6"/>
      <c r="V783" s="55"/>
      <c r="W783" s="6"/>
      <c r="X783" s="6"/>
      <c r="Y783" s="6"/>
      <c r="Z783" s="6"/>
      <c r="AA783" s="6"/>
      <c r="AB783" s="6"/>
      <c r="AC783" s="6"/>
    </row>
    <row r="784" spans="1:29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225"/>
      <c r="O784" s="6"/>
      <c r="P784" s="6"/>
      <c r="Q784" s="6"/>
      <c r="R784" s="6"/>
      <c r="S784" s="6"/>
      <c r="T784" s="6"/>
      <c r="U784" s="6"/>
      <c r="V784" s="55"/>
      <c r="W784" s="6"/>
      <c r="X784" s="6"/>
      <c r="Y784" s="6"/>
      <c r="Z784" s="6"/>
      <c r="AA784" s="6"/>
      <c r="AB784" s="6"/>
      <c r="AC784" s="6"/>
    </row>
    <row r="785" spans="1:29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225"/>
      <c r="O785" s="6"/>
      <c r="P785" s="6"/>
      <c r="Q785" s="6"/>
      <c r="R785" s="6"/>
      <c r="S785" s="6"/>
      <c r="T785" s="6"/>
      <c r="U785" s="6"/>
      <c r="V785" s="55"/>
      <c r="W785" s="6"/>
      <c r="X785" s="6"/>
      <c r="Y785" s="6"/>
      <c r="Z785" s="6"/>
      <c r="AA785" s="6"/>
      <c r="AB785" s="6"/>
      <c r="AC785" s="6"/>
    </row>
    <row r="786" spans="1:29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225"/>
      <c r="O786" s="6"/>
      <c r="P786" s="6"/>
      <c r="Q786" s="6"/>
      <c r="R786" s="6"/>
      <c r="S786" s="6"/>
      <c r="T786" s="6"/>
      <c r="U786" s="6"/>
      <c r="V786" s="55"/>
      <c r="W786" s="6"/>
      <c r="X786" s="6"/>
      <c r="Y786" s="6"/>
      <c r="Z786" s="6"/>
      <c r="AA786" s="6"/>
      <c r="AB786" s="6"/>
      <c r="AC786" s="6"/>
    </row>
    <row r="787" spans="1:29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225"/>
      <c r="O787" s="6"/>
      <c r="P787" s="6"/>
      <c r="Q787" s="6"/>
      <c r="R787" s="6"/>
      <c r="S787" s="6"/>
      <c r="T787" s="6"/>
      <c r="U787" s="6"/>
      <c r="V787" s="55"/>
      <c r="W787" s="6"/>
      <c r="X787" s="6"/>
      <c r="Y787" s="6"/>
      <c r="Z787" s="6"/>
      <c r="AA787" s="6"/>
      <c r="AB787" s="6"/>
      <c r="AC787" s="6"/>
    </row>
    <row r="788" spans="1:29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225"/>
      <c r="O788" s="6"/>
      <c r="P788" s="6"/>
      <c r="Q788" s="6"/>
      <c r="R788" s="6"/>
      <c r="S788" s="6"/>
      <c r="T788" s="6"/>
      <c r="U788" s="6"/>
      <c r="V788" s="55"/>
      <c r="W788" s="6"/>
      <c r="X788" s="6"/>
      <c r="Y788" s="6"/>
      <c r="Z788" s="6"/>
      <c r="AA788" s="6"/>
      <c r="AB788" s="6"/>
      <c r="AC788" s="6"/>
    </row>
    <row r="789" spans="1:29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225"/>
      <c r="O789" s="6"/>
      <c r="P789" s="6"/>
      <c r="Q789" s="6"/>
      <c r="R789" s="6"/>
      <c r="S789" s="6"/>
      <c r="T789" s="6"/>
      <c r="U789" s="6"/>
      <c r="V789" s="55"/>
      <c r="W789" s="6"/>
      <c r="X789" s="6"/>
      <c r="Y789" s="6"/>
      <c r="Z789" s="6"/>
      <c r="AA789" s="6"/>
      <c r="AB789" s="6"/>
      <c r="AC789" s="6"/>
    </row>
    <row r="790" spans="1:29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225"/>
      <c r="O790" s="6"/>
      <c r="P790" s="6"/>
      <c r="Q790" s="6"/>
      <c r="R790" s="6"/>
      <c r="S790" s="6"/>
      <c r="T790" s="6"/>
      <c r="U790" s="6"/>
      <c r="V790" s="55"/>
      <c r="W790" s="6"/>
      <c r="X790" s="6"/>
      <c r="Y790" s="6"/>
      <c r="Z790" s="6"/>
      <c r="AA790" s="6"/>
      <c r="AB790" s="6"/>
      <c r="AC790" s="6"/>
    </row>
    <row r="791" spans="1:29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225"/>
      <c r="O791" s="6"/>
      <c r="P791" s="6"/>
      <c r="Q791" s="6"/>
      <c r="R791" s="6"/>
      <c r="S791" s="6"/>
      <c r="T791" s="6"/>
      <c r="U791" s="6"/>
      <c r="V791" s="55"/>
      <c r="W791" s="6"/>
      <c r="X791" s="6"/>
      <c r="Y791" s="6"/>
      <c r="Z791" s="6"/>
      <c r="AA791" s="6"/>
      <c r="AB791" s="6"/>
      <c r="AC791" s="6"/>
    </row>
    <row r="792" spans="1:29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225"/>
      <c r="O792" s="6"/>
      <c r="P792" s="6"/>
      <c r="Q792" s="6"/>
      <c r="R792" s="6"/>
      <c r="S792" s="6"/>
      <c r="T792" s="6"/>
      <c r="U792" s="6"/>
      <c r="V792" s="55"/>
      <c r="W792" s="6"/>
      <c r="X792" s="6"/>
      <c r="Y792" s="6"/>
      <c r="Z792" s="6"/>
      <c r="AA792" s="6"/>
      <c r="AB792" s="6"/>
      <c r="AC792" s="6"/>
    </row>
    <row r="793" spans="1:29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225"/>
      <c r="O793" s="6"/>
      <c r="P793" s="6"/>
      <c r="Q793" s="6"/>
      <c r="R793" s="6"/>
      <c r="S793" s="6"/>
      <c r="T793" s="6"/>
      <c r="U793" s="6"/>
      <c r="V793" s="55"/>
      <c r="W793" s="6"/>
      <c r="X793" s="6"/>
      <c r="Y793" s="6"/>
      <c r="Z793" s="6"/>
      <c r="AA793" s="6"/>
      <c r="AB793" s="6"/>
      <c r="AC793" s="6"/>
    </row>
    <row r="794" spans="1:29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225"/>
      <c r="O794" s="6"/>
      <c r="P794" s="6"/>
      <c r="Q794" s="6"/>
      <c r="R794" s="6"/>
      <c r="S794" s="6"/>
      <c r="T794" s="6"/>
      <c r="U794" s="6"/>
      <c r="V794" s="55"/>
      <c r="W794" s="6"/>
      <c r="X794" s="6"/>
      <c r="Y794" s="6"/>
      <c r="Z794" s="6"/>
      <c r="AA794" s="6"/>
      <c r="AB794" s="6"/>
      <c r="AC794" s="6"/>
    </row>
    <row r="795" spans="1:29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225"/>
      <c r="O795" s="6"/>
      <c r="P795" s="6"/>
      <c r="Q795" s="6"/>
      <c r="R795" s="6"/>
      <c r="S795" s="6"/>
      <c r="T795" s="6"/>
      <c r="U795" s="6"/>
      <c r="V795" s="55"/>
      <c r="W795" s="6"/>
      <c r="X795" s="6"/>
      <c r="Y795" s="6"/>
      <c r="Z795" s="6"/>
      <c r="AA795" s="6"/>
      <c r="AB795" s="6"/>
      <c r="AC795" s="6"/>
    </row>
    <row r="796" spans="1:29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225"/>
      <c r="O796" s="6"/>
      <c r="P796" s="6"/>
      <c r="Q796" s="6"/>
      <c r="R796" s="6"/>
      <c r="S796" s="6"/>
      <c r="T796" s="6"/>
      <c r="U796" s="6"/>
      <c r="V796" s="55"/>
      <c r="W796" s="6"/>
      <c r="X796" s="6"/>
      <c r="Y796" s="6"/>
      <c r="Z796" s="6"/>
      <c r="AA796" s="6"/>
      <c r="AB796" s="6"/>
      <c r="AC796" s="6"/>
    </row>
    <row r="797" spans="1:29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225"/>
      <c r="O797" s="6"/>
      <c r="P797" s="6"/>
      <c r="Q797" s="6"/>
      <c r="R797" s="6"/>
      <c r="S797" s="6"/>
      <c r="T797" s="6"/>
      <c r="U797" s="6"/>
      <c r="V797" s="55"/>
      <c r="W797" s="6"/>
      <c r="X797" s="6"/>
      <c r="Y797" s="6"/>
      <c r="Z797" s="6"/>
      <c r="AA797" s="6"/>
      <c r="AB797" s="6"/>
      <c r="AC797" s="6"/>
    </row>
    <row r="798" spans="1:29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225"/>
      <c r="O798" s="6"/>
      <c r="P798" s="6"/>
      <c r="Q798" s="6"/>
      <c r="R798" s="6"/>
      <c r="S798" s="6"/>
      <c r="T798" s="6"/>
      <c r="U798" s="6"/>
      <c r="V798" s="55"/>
      <c r="W798" s="6"/>
      <c r="X798" s="6"/>
      <c r="Y798" s="6"/>
      <c r="Z798" s="6"/>
      <c r="AA798" s="6"/>
      <c r="AB798" s="6"/>
      <c r="AC798" s="6"/>
    </row>
    <row r="799" spans="1:29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225"/>
      <c r="O799" s="6"/>
      <c r="P799" s="6"/>
      <c r="Q799" s="6"/>
      <c r="R799" s="6"/>
      <c r="S799" s="6"/>
      <c r="T799" s="6"/>
      <c r="U799" s="6"/>
      <c r="V799" s="55"/>
      <c r="W799" s="6"/>
      <c r="X799" s="6"/>
      <c r="Y799" s="6"/>
      <c r="Z799" s="6"/>
      <c r="AA799" s="6"/>
      <c r="AB799" s="6"/>
      <c r="AC799" s="6"/>
    </row>
    <row r="800" spans="1:29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225"/>
      <c r="O800" s="6"/>
      <c r="P800" s="6"/>
      <c r="Q800" s="6"/>
      <c r="R800" s="6"/>
      <c r="S800" s="6"/>
      <c r="T800" s="6"/>
      <c r="U800" s="6"/>
      <c r="V800" s="55"/>
      <c r="W800" s="6"/>
      <c r="X800" s="6"/>
      <c r="Y800" s="6"/>
      <c r="Z800" s="6"/>
      <c r="AA800" s="6"/>
      <c r="AB800" s="6"/>
      <c r="AC800" s="6"/>
    </row>
    <row r="801" spans="1:29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225"/>
      <c r="O801" s="6"/>
      <c r="P801" s="6"/>
      <c r="Q801" s="6"/>
      <c r="R801" s="6"/>
      <c r="S801" s="6"/>
      <c r="T801" s="6"/>
      <c r="U801" s="6"/>
      <c r="V801" s="55"/>
      <c r="W801" s="6"/>
      <c r="X801" s="6"/>
      <c r="Y801" s="6"/>
      <c r="Z801" s="6"/>
      <c r="AA801" s="6"/>
      <c r="AB801" s="6"/>
      <c r="AC801" s="6"/>
    </row>
    <row r="802" spans="1:29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225"/>
      <c r="O802" s="6"/>
      <c r="P802" s="6"/>
      <c r="Q802" s="6"/>
      <c r="R802" s="6"/>
      <c r="S802" s="6"/>
      <c r="T802" s="6"/>
      <c r="U802" s="6"/>
      <c r="V802" s="55"/>
      <c r="W802" s="6"/>
      <c r="X802" s="6"/>
      <c r="Y802" s="6"/>
      <c r="Z802" s="6"/>
      <c r="AA802" s="6"/>
      <c r="AB802" s="6"/>
      <c r="AC802" s="6"/>
    </row>
    <row r="803" spans="1:29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225"/>
      <c r="O803" s="6"/>
      <c r="P803" s="6"/>
      <c r="Q803" s="6"/>
      <c r="R803" s="6"/>
      <c r="S803" s="6"/>
      <c r="T803" s="6"/>
      <c r="U803" s="6"/>
      <c r="V803" s="55"/>
      <c r="W803" s="6"/>
      <c r="X803" s="6"/>
      <c r="Y803" s="6"/>
      <c r="Z803" s="6"/>
      <c r="AA803" s="6"/>
      <c r="AB803" s="6"/>
      <c r="AC803" s="6"/>
    </row>
    <row r="804" spans="1:29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225"/>
      <c r="O804" s="6"/>
      <c r="P804" s="6"/>
      <c r="Q804" s="6"/>
      <c r="R804" s="6"/>
      <c r="S804" s="6"/>
      <c r="T804" s="6"/>
      <c r="U804" s="6"/>
      <c r="V804" s="55"/>
      <c r="W804" s="6"/>
      <c r="X804" s="6"/>
      <c r="Y804" s="6"/>
      <c r="Z804" s="6"/>
      <c r="AA804" s="6"/>
      <c r="AB804" s="6"/>
      <c r="AC804" s="6"/>
    </row>
    <row r="805" spans="1:29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225"/>
      <c r="O805" s="6"/>
      <c r="P805" s="6"/>
      <c r="Q805" s="6"/>
      <c r="R805" s="6"/>
      <c r="S805" s="6"/>
      <c r="T805" s="6"/>
      <c r="U805" s="6"/>
      <c r="V805" s="55"/>
      <c r="W805" s="6"/>
      <c r="X805" s="6"/>
      <c r="Y805" s="6"/>
      <c r="Z805" s="6"/>
      <c r="AA805" s="6"/>
      <c r="AB805" s="6"/>
      <c r="AC805" s="6"/>
    </row>
    <row r="806" spans="1:29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225"/>
      <c r="O806" s="6"/>
      <c r="P806" s="6"/>
      <c r="Q806" s="6"/>
      <c r="R806" s="6"/>
      <c r="S806" s="6"/>
      <c r="T806" s="6"/>
      <c r="U806" s="6"/>
      <c r="V806" s="55"/>
      <c r="W806" s="6"/>
      <c r="X806" s="6"/>
      <c r="Y806" s="6"/>
      <c r="Z806" s="6"/>
      <c r="AA806" s="6"/>
      <c r="AB806" s="6"/>
      <c r="AC806" s="6"/>
    </row>
    <row r="807" spans="1:29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225"/>
      <c r="O807" s="6"/>
      <c r="P807" s="6"/>
      <c r="Q807" s="6"/>
      <c r="R807" s="6"/>
      <c r="S807" s="6"/>
      <c r="T807" s="6"/>
      <c r="U807" s="6"/>
      <c r="V807" s="55"/>
      <c r="W807" s="6"/>
      <c r="X807" s="6"/>
      <c r="Y807" s="6"/>
      <c r="Z807" s="6"/>
      <c r="AA807" s="6"/>
      <c r="AB807" s="6"/>
      <c r="AC807" s="6"/>
    </row>
    <row r="808" spans="1:29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225"/>
      <c r="O808" s="6"/>
      <c r="P808" s="6"/>
      <c r="Q808" s="6"/>
      <c r="R808" s="6"/>
      <c r="S808" s="6"/>
      <c r="T808" s="6"/>
      <c r="U808" s="6"/>
      <c r="V808" s="55"/>
      <c r="W808" s="6"/>
      <c r="X808" s="6"/>
      <c r="Y808" s="6"/>
      <c r="Z808" s="6"/>
      <c r="AA808" s="6"/>
      <c r="AB808" s="6"/>
      <c r="AC808" s="6"/>
    </row>
    <row r="809" spans="1:29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225"/>
      <c r="O809" s="6"/>
      <c r="P809" s="6"/>
      <c r="Q809" s="6"/>
      <c r="R809" s="6"/>
      <c r="S809" s="6"/>
      <c r="T809" s="6"/>
      <c r="U809" s="6"/>
      <c r="V809" s="55"/>
      <c r="W809" s="6"/>
      <c r="X809" s="6"/>
      <c r="Y809" s="6"/>
      <c r="Z809" s="6"/>
      <c r="AA809" s="6"/>
      <c r="AB809" s="6"/>
      <c r="AC809" s="6"/>
    </row>
    <row r="810" spans="1:29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225"/>
      <c r="O810" s="6"/>
      <c r="P810" s="6"/>
      <c r="Q810" s="6"/>
      <c r="R810" s="6"/>
      <c r="S810" s="6"/>
      <c r="T810" s="6"/>
      <c r="U810" s="6"/>
      <c r="V810" s="55"/>
      <c r="W810" s="6"/>
      <c r="X810" s="6"/>
      <c r="Y810" s="6"/>
      <c r="Z810" s="6"/>
      <c r="AA810" s="6"/>
      <c r="AB810" s="6"/>
      <c r="AC810" s="6"/>
    </row>
    <row r="811" spans="1:29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225"/>
      <c r="O811" s="6"/>
      <c r="P811" s="6"/>
      <c r="Q811" s="6"/>
      <c r="R811" s="6"/>
      <c r="S811" s="6"/>
      <c r="T811" s="6"/>
      <c r="U811" s="6"/>
      <c r="V811" s="55"/>
      <c r="W811" s="6"/>
      <c r="X811" s="6"/>
      <c r="Y811" s="6"/>
      <c r="Z811" s="6"/>
      <c r="AA811" s="6"/>
      <c r="AB811" s="6"/>
      <c r="AC811" s="6"/>
    </row>
    <row r="812" spans="1:29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225"/>
      <c r="O812" s="6"/>
      <c r="P812" s="6"/>
      <c r="Q812" s="6"/>
      <c r="R812" s="6"/>
      <c r="S812" s="6"/>
      <c r="T812" s="6"/>
      <c r="U812" s="6"/>
      <c r="V812" s="55"/>
      <c r="W812" s="6"/>
      <c r="X812" s="6"/>
      <c r="Y812" s="6"/>
      <c r="Z812" s="6"/>
      <c r="AA812" s="6"/>
      <c r="AB812" s="6"/>
      <c r="AC812" s="6"/>
    </row>
    <row r="813" spans="1:29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225"/>
      <c r="O813" s="6"/>
      <c r="P813" s="6"/>
      <c r="Q813" s="6"/>
      <c r="R813" s="6"/>
      <c r="S813" s="6"/>
      <c r="T813" s="6"/>
      <c r="U813" s="6"/>
      <c r="V813" s="55"/>
      <c r="W813" s="6"/>
      <c r="X813" s="6"/>
      <c r="Y813" s="6"/>
      <c r="Z813" s="6"/>
      <c r="AA813" s="6"/>
      <c r="AB813" s="6"/>
      <c r="AC813" s="6"/>
    </row>
    <row r="814" spans="1:29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225"/>
      <c r="O814" s="6"/>
      <c r="P814" s="6"/>
      <c r="Q814" s="6"/>
      <c r="R814" s="6"/>
      <c r="S814" s="6"/>
      <c r="T814" s="6"/>
      <c r="U814" s="6"/>
      <c r="V814" s="55"/>
      <c r="W814" s="6"/>
      <c r="X814" s="6"/>
      <c r="Y814" s="6"/>
      <c r="Z814" s="6"/>
      <c r="AA814" s="6"/>
      <c r="AB814" s="6"/>
      <c r="AC814" s="6"/>
    </row>
    <row r="815" spans="1:29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225"/>
      <c r="O815" s="6"/>
      <c r="P815" s="6"/>
      <c r="Q815" s="6"/>
      <c r="R815" s="6"/>
      <c r="S815" s="6"/>
      <c r="T815" s="6"/>
      <c r="U815" s="6"/>
      <c r="V815" s="55"/>
      <c r="W815" s="6"/>
      <c r="X815" s="6"/>
      <c r="Y815" s="6"/>
      <c r="Z815" s="6"/>
      <c r="AA815" s="6"/>
      <c r="AB815" s="6"/>
      <c r="AC815" s="6"/>
    </row>
    <row r="816" spans="1:29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225"/>
      <c r="O816" s="6"/>
      <c r="P816" s="6"/>
      <c r="Q816" s="6"/>
      <c r="R816" s="6"/>
      <c r="S816" s="6"/>
      <c r="T816" s="6"/>
      <c r="U816" s="6"/>
      <c r="V816" s="55"/>
      <c r="W816" s="6"/>
      <c r="X816" s="6"/>
      <c r="Y816" s="6"/>
      <c r="Z816" s="6"/>
      <c r="AA816" s="6"/>
      <c r="AB816" s="6"/>
      <c r="AC816" s="6"/>
    </row>
    <row r="817" spans="1:29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225"/>
      <c r="O817" s="6"/>
      <c r="P817" s="6"/>
      <c r="Q817" s="6"/>
      <c r="R817" s="6"/>
      <c r="S817" s="6"/>
      <c r="T817" s="6"/>
      <c r="U817" s="6"/>
      <c r="V817" s="55"/>
      <c r="W817" s="6"/>
      <c r="X817" s="6"/>
      <c r="Y817" s="6"/>
      <c r="Z817" s="6"/>
      <c r="AA817" s="6"/>
      <c r="AB817" s="6"/>
      <c r="AC817" s="6"/>
    </row>
    <row r="818" spans="1:29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225"/>
      <c r="O818" s="6"/>
      <c r="P818" s="6"/>
      <c r="Q818" s="6"/>
      <c r="R818" s="6"/>
      <c r="S818" s="6"/>
      <c r="T818" s="6"/>
      <c r="U818" s="6"/>
      <c r="V818" s="55"/>
      <c r="W818" s="6"/>
      <c r="X818" s="6"/>
      <c r="Y818" s="6"/>
      <c r="Z818" s="6"/>
      <c r="AA818" s="6"/>
      <c r="AB818" s="6"/>
      <c r="AC818" s="6"/>
    </row>
    <row r="819" spans="1:29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225"/>
      <c r="O819" s="6"/>
      <c r="P819" s="6"/>
      <c r="Q819" s="6"/>
      <c r="R819" s="6"/>
      <c r="S819" s="6"/>
      <c r="T819" s="6"/>
      <c r="U819" s="6"/>
      <c r="V819" s="55"/>
      <c r="W819" s="6"/>
      <c r="X819" s="6"/>
      <c r="Y819" s="6"/>
      <c r="Z819" s="6"/>
      <c r="AA819" s="6"/>
      <c r="AB819" s="6"/>
      <c r="AC819" s="6"/>
    </row>
    <row r="820" spans="1:29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225"/>
      <c r="O820" s="6"/>
      <c r="P820" s="6"/>
      <c r="Q820" s="6"/>
      <c r="R820" s="6"/>
      <c r="S820" s="6"/>
      <c r="T820" s="6"/>
      <c r="U820" s="6"/>
      <c r="V820" s="55"/>
      <c r="W820" s="6"/>
      <c r="X820" s="6"/>
      <c r="Y820" s="6"/>
      <c r="Z820" s="6"/>
      <c r="AA820" s="6"/>
      <c r="AB820" s="6"/>
      <c r="AC820" s="6"/>
    </row>
    <row r="821" spans="1:29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225"/>
      <c r="O821" s="6"/>
      <c r="P821" s="6"/>
      <c r="Q821" s="6"/>
      <c r="R821" s="6"/>
      <c r="S821" s="6"/>
      <c r="T821" s="6"/>
      <c r="U821" s="6"/>
      <c r="V821" s="55"/>
      <c r="W821" s="6"/>
      <c r="X821" s="6"/>
      <c r="Y821" s="6"/>
      <c r="Z821" s="6"/>
      <c r="AA821" s="6"/>
      <c r="AB821" s="6"/>
      <c r="AC821" s="6"/>
    </row>
    <row r="822" spans="1:29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225"/>
      <c r="O822" s="6"/>
      <c r="P822" s="6"/>
      <c r="Q822" s="6"/>
      <c r="R822" s="6"/>
      <c r="S822" s="6"/>
      <c r="T822" s="6"/>
      <c r="U822" s="6"/>
      <c r="V822" s="55"/>
      <c r="W822" s="6"/>
      <c r="X822" s="6"/>
      <c r="Y822" s="6"/>
      <c r="Z822" s="6"/>
      <c r="AA822" s="6"/>
      <c r="AB822" s="6"/>
      <c r="AC822" s="6"/>
    </row>
    <row r="823" spans="1:29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225"/>
      <c r="O823" s="6"/>
      <c r="P823" s="6"/>
      <c r="Q823" s="6"/>
      <c r="R823" s="6"/>
      <c r="S823" s="6"/>
      <c r="T823" s="6"/>
      <c r="U823" s="6"/>
      <c r="V823" s="55"/>
      <c r="W823" s="6"/>
      <c r="X823" s="6"/>
      <c r="Y823" s="6"/>
      <c r="Z823" s="6"/>
      <c r="AA823" s="6"/>
      <c r="AB823" s="6"/>
      <c r="AC823" s="6"/>
    </row>
    <row r="824" spans="1:29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225"/>
      <c r="O824" s="6"/>
      <c r="P824" s="6"/>
      <c r="Q824" s="6"/>
      <c r="R824" s="6"/>
      <c r="S824" s="6"/>
      <c r="T824" s="6"/>
      <c r="U824" s="6"/>
      <c r="V824" s="55"/>
      <c r="W824" s="6"/>
      <c r="X824" s="6"/>
      <c r="Y824" s="6"/>
      <c r="Z824" s="6"/>
      <c r="AA824" s="6"/>
      <c r="AB824" s="6"/>
      <c r="AC824" s="6"/>
    </row>
    <row r="825" spans="1:29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225"/>
      <c r="O825" s="6"/>
      <c r="P825" s="6"/>
      <c r="Q825" s="6"/>
      <c r="R825" s="6"/>
      <c r="S825" s="6"/>
      <c r="T825" s="6"/>
      <c r="U825" s="6"/>
      <c r="V825" s="55"/>
      <c r="W825" s="6"/>
      <c r="X825" s="6"/>
      <c r="Y825" s="6"/>
      <c r="Z825" s="6"/>
      <c r="AA825" s="6"/>
      <c r="AB825" s="6"/>
      <c r="AC825" s="6"/>
    </row>
    <row r="826" spans="1:29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225"/>
      <c r="O826" s="6"/>
      <c r="P826" s="6"/>
      <c r="Q826" s="6"/>
      <c r="R826" s="6"/>
      <c r="S826" s="6"/>
      <c r="T826" s="6"/>
      <c r="U826" s="6"/>
      <c r="V826" s="55"/>
      <c r="W826" s="6"/>
      <c r="X826" s="6"/>
      <c r="Y826" s="6"/>
      <c r="Z826" s="6"/>
      <c r="AA826" s="6"/>
      <c r="AB826" s="6"/>
      <c r="AC826" s="6"/>
    </row>
    <row r="827" spans="1:29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225"/>
      <c r="O827" s="6"/>
      <c r="P827" s="6"/>
      <c r="Q827" s="6"/>
      <c r="R827" s="6"/>
      <c r="S827" s="6"/>
      <c r="T827" s="6"/>
      <c r="U827" s="6"/>
      <c r="V827" s="55"/>
      <c r="W827" s="6"/>
      <c r="X827" s="6"/>
      <c r="Y827" s="6"/>
      <c r="Z827" s="6"/>
      <c r="AA827" s="6"/>
      <c r="AB827" s="6"/>
      <c r="AC827" s="6"/>
    </row>
    <row r="828" spans="1:29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225"/>
      <c r="O828" s="6"/>
      <c r="P828" s="6"/>
      <c r="Q828" s="6"/>
      <c r="R828" s="6"/>
      <c r="S828" s="6"/>
      <c r="T828" s="6"/>
      <c r="U828" s="6"/>
      <c r="V828" s="55"/>
      <c r="W828" s="6"/>
      <c r="X828" s="6"/>
      <c r="Y828" s="6"/>
      <c r="Z828" s="6"/>
      <c r="AA828" s="6"/>
      <c r="AB828" s="6"/>
      <c r="AC828" s="6"/>
    </row>
    <row r="829" spans="1:29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225"/>
      <c r="O829" s="6"/>
      <c r="P829" s="6"/>
      <c r="Q829" s="6"/>
      <c r="R829" s="6"/>
      <c r="S829" s="6"/>
      <c r="T829" s="6"/>
      <c r="U829" s="6"/>
      <c r="V829" s="55"/>
      <c r="W829" s="6"/>
      <c r="X829" s="6"/>
      <c r="Y829" s="6"/>
      <c r="Z829" s="6"/>
      <c r="AA829" s="6"/>
      <c r="AB829" s="6"/>
      <c r="AC829" s="6"/>
    </row>
    <row r="830" spans="1:29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225"/>
      <c r="O830" s="6"/>
      <c r="P830" s="6"/>
      <c r="Q830" s="6"/>
      <c r="R830" s="6"/>
      <c r="S830" s="6"/>
      <c r="T830" s="6"/>
      <c r="U830" s="6"/>
      <c r="V830" s="55"/>
      <c r="W830" s="6"/>
      <c r="X830" s="6"/>
      <c r="Y830" s="6"/>
      <c r="Z830" s="6"/>
      <c r="AA830" s="6"/>
      <c r="AB830" s="6"/>
      <c r="AC830" s="6"/>
    </row>
    <row r="831" spans="1:29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225"/>
      <c r="O831" s="6"/>
      <c r="P831" s="6"/>
      <c r="Q831" s="6"/>
      <c r="R831" s="6"/>
      <c r="S831" s="6"/>
      <c r="T831" s="6"/>
      <c r="U831" s="6"/>
      <c r="V831" s="55"/>
      <c r="W831" s="6"/>
      <c r="X831" s="6"/>
      <c r="Y831" s="6"/>
      <c r="Z831" s="6"/>
      <c r="AA831" s="6"/>
      <c r="AB831" s="6"/>
      <c r="AC831" s="6"/>
    </row>
    <row r="832" spans="1:29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225"/>
      <c r="O832" s="6"/>
      <c r="P832" s="6"/>
      <c r="Q832" s="6"/>
      <c r="R832" s="6"/>
      <c r="S832" s="6"/>
      <c r="T832" s="6"/>
      <c r="U832" s="6"/>
      <c r="V832" s="55"/>
      <c r="W832" s="6"/>
      <c r="X832" s="6"/>
      <c r="Y832" s="6"/>
      <c r="Z832" s="6"/>
      <c r="AA832" s="6"/>
      <c r="AB832" s="6"/>
      <c r="AC832" s="6"/>
    </row>
    <row r="833" spans="1:29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225"/>
      <c r="O833" s="6"/>
      <c r="P833" s="6"/>
      <c r="Q833" s="6"/>
      <c r="R833" s="6"/>
      <c r="S833" s="6"/>
      <c r="T833" s="6"/>
      <c r="U833" s="6"/>
      <c r="V833" s="55"/>
      <c r="W833" s="6"/>
      <c r="X833" s="6"/>
      <c r="Y833" s="6"/>
      <c r="Z833" s="6"/>
      <c r="AA833" s="6"/>
      <c r="AB833" s="6"/>
      <c r="AC833" s="6"/>
    </row>
    <row r="834" spans="1:29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225"/>
      <c r="O834" s="6"/>
      <c r="P834" s="6"/>
      <c r="Q834" s="6"/>
      <c r="R834" s="6"/>
      <c r="S834" s="6"/>
      <c r="T834" s="6"/>
      <c r="U834" s="6"/>
      <c r="V834" s="55"/>
      <c r="W834" s="6"/>
      <c r="X834" s="6"/>
      <c r="Y834" s="6"/>
      <c r="Z834" s="6"/>
      <c r="AA834" s="6"/>
      <c r="AB834" s="6"/>
      <c r="AC834" s="6"/>
    </row>
    <row r="835" spans="1:29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225"/>
      <c r="O835" s="6"/>
      <c r="P835" s="6"/>
      <c r="Q835" s="6"/>
      <c r="R835" s="6"/>
      <c r="S835" s="6"/>
      <c r="T835" s="6"/>
      <c r="U835" s="6"/>
      <c r="V835" s="55"/>
      <c r="W835" s="6"/>
      <c r="X835" s="6"/>
      <c r="Y835" s="6"/>
      <c r="Z835" s="6"/>
      <c r="AA835" s="6"/>
      <c r="AB835" s="6"/>
      <c r="AC835" s="6"/>
    </row>
    <row r="836" spans="1:29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225"/>
      <c r="O836" s="6"/>
      <c r="P836" s="6"/>
      <c r="Q836" s="6"/>
      <c r="R836" s="6"/>
      <c r="S836" s="6"/>
      <c r="T836" s="6"/>
      <c r="U836" s="6"/>
      <c r="V836" s="55"/>
      <c r="W836" s="6"/>
      <c r="X836" s="6"/>
      <c r="Y836" s="6"/>
      <c r="Z836" s="6"/>
      <c r="AA836" s="6"/>
      <c r="AB836" s="6"/>
      <c r="AC836" s="6"/>
    </row>
    <row r="837" spans="1:29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225"/>
      <c r="O837" s="6"/>
      <c r="P837" s="6"/>
      <c r="Q837" s="6"/>
      <c r="R837" s="6"/>
      <c r="S837" s="6"/>
      <c r="T837" s="6"/>
      <c r="U837" s="6"/>
      <c r="V837" s="55"/>
      <c r="W837" s="6"/>
      <c r="X837" s="6"/>
      <c r="Y837" s="6"/>
      <c r="Z837" s="6"/>
      <c r="AA837" s="6"/>
      <c r="AB837" s="6"/>
      <c r="AC837" s="6"/>
    </row>
    <row r="838" spans="1:29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225"/>
      <c r="O838" s="6"/>
      <c r="P838" s="6"/>
      <c r="Q838" s="6"/>
      <c r="R838" s="6"/>
      <c r="S838" s="6"/>
      <c r="T838" s="6"/>
      <c r="U838" s="6"/>
      <c r="V838" s="55"/>
      <c r="W838" s="6"/>
      <c r="X838" s="6"/>
      <c r="Y838" s="6"/>
      <c r="Z838" s="6"/>
      <c r="AA838" s="6"/>
      <c r="AB838" s="6"/>
      <c r="AC838" s="6"/>
    </row>
    <row r="839" spans="1:29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225"/>
      <c r="O839" s="6"/>
      <c r="P839" s="6"/>
      <c r="Q839" s="6"/>
      <c r="R839" s="6"/>
      <c r="S839" s="6"/>
      <c r="T839" s="6"/>
      <c r="U839" s="6"/>
      <c r="V839" s="55"/>
      <c r="W839" s="6"/>
      <c r="X839" s="6"/>
      <c r="Y839" s="6"/>
      <c r="Z839" s="6"/>
      <c r="AA839" s="6"/>
      <c r="AB839" s="6"/>
      <c r="AC839" s="6"/>
    </row>
    <row r="840" spans="1:29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225"/>
      <c r="O840" s="6"/>
      <c r="P840" s="6"/>
      <c r="Q840" s="6"/>
      <c r="R840" s="6"/>
      <c r="S840" s="6"/>
      <c r="T840" s="6"/>
      <c r="U840" s="6"/>
      <c r="V840" s="55"/>
      <c r="W840" s="6"/>
      <c r="X840" s="6"/>
      <c r="Y840" s="6"/>
      <c r="Z840" s="6"/>
      <c r="AA840" s="6"/>
      <c r="AB840" s="6"/>
      <c r="AC840" s="6"/>
    </row>
    <row r="841" spans="1:29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225"/>
      <c r="O841" s="6"/>
      <c r="P841" s="6"/>
      <c r="Q841" s="6"/>
      <c r="R841" s="6"/>
      <c r="S841" s="6"/>
      <c r="T841" s="6"/>
      <c r="U841" s="6"/>
      <c r="V841" s="55"/>
      <c r="W841" s="6"/>
      <c r="X841" s="6"/>
      <c r="Y841" s="6"/>
      <c r="Z841" s="6"/>
      <c r="AA841" s="6"/>
      <c r="AB841" s="6"/>
      <c r="AC841" s="6"/>
    </row>
    <row r="842" spans="1:29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225"/>
      <c r="O842" s="6"/>
      <c r="P842" s="6"/>
      <c r="Q842" s="6"/>
      <c r="R842" s="6"/>
      <c r="S842" s="6"/>
      <c r="T842" s="6"/>
      <c r="U842" s="6"/>
      <c r="V842" s="55"/>
      <c r="W842" s="6"/>
      <c r="X842" s="6"/>
      <c r="Y842" s="6"/>
      <c r="Z842" s="6"/>
      <c r="AA842" s="6"/>
      <c r="AB842" s="6"/>
      <c r="AC842" s="6"/>
    </row>
    <row r="843" spans="1:29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225"/>
      <c r="O843" s="6"/>
      <c r="P843" s="6"/>
      <c r="Q843" s="6"/>
      <c r="R843" s="6"/>
      <c r="S843" s="6"/>
      <c r="T843" s="6"/>
      <c r="U843" s="6"/>
      <c r="V843" s="55"/>
      <c r="W843" s="6"/>
      <c r="X843" s="6"/>
      <c r="Y843" s="6"/>
      <c r="Z843" s="6"/>
      <c r="AA843" s="6"/>
      <c r="AB843" s="6"/>
      <c r="AC843" s="6"/>
    </row>
    <row r="844" spans="1:29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225"/>
      <c r="O844" s="6"/>
      <c r="P844" s="6"/>
      <c r="Q844" s="6"/>
      <c r="R844" s="6"/>
      <c r="S844" s="6"/>
      <c r="T844" s="6"/>
      <c r="U844" s="6"/>
      <c r="V844" s="55"/>
      <c r="W844" s="6"/>
      <c r="X844" s="6"/>
      <c r="Y844" s="6"/>
      <c r="Z844" s="6"/>
      <c r="AA844" s="6"/>
      <c r="AB844" s="6"/>
      <c r="AC844" s="6"/>
    </row>
    <row r="845" spans="1:29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225"/>
      <c r="O845" s="6"/>
      <c r="P845" s="6"/>
      <c r="Q845" s="6"/>
      <c r="R845" s="6"/>
      <c r="S845" s="6"/>
      <c r="T845" s="6"/>
      <c r="U845" s="6"/>
      <c r="V845" s="55"/>
      <c r="W845" s="6"/>
      <c r="X845" s="6"/>
      <c r="Y845" s="6"/>
      <c r="Z845" s="6"/>
      <c r="AA845" s="6"/>
      <c r="AB845" s="6"/>
      <c r="AC845" s="6"/>
    </row>
    <row r="846" spans="1:29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225"/>
      <c r="O846" s="6"/>
      <c r="P846" s="6"/>
      <c r="Q846" s="6"/>
      <c r="R846" s="6"/>
      <c r="S846" s="6"/>
      <c r="T846" s="6"/>
      <c r="U846" s="6"/>
      <c r="V846" s="55"/>
      <c r="W846" s="6"/>
      <c r="X846" s="6"/>
      <c r="Y846" s="6"/>
      <c r="Z846" s="6"/>
      <c r="AA846" s="6"/>
      <c r="AB846" s="6"/>
      <c r="AC846" s="6"/>
    </row>
    <row r="847" spans="1:29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225"/>
      <c r="O847" s="6"/>
      <c r="P847" s="6"/>
      <c r="Q847" s="6"/>
      <c r="R847" s="6"/>
      <c r="S847" s="6"/>
      <c r="T847" s="6"/>
      <c r="U847" s="6"/>
      <c r="V847" s="55"/>
      <c r="W847" s="6"/>
      <c r="X847" s="6"/>
      <c r="Y847" s="6"/>
      <c r="Z847" s="6"/>
      <c r="AA847" s="6"/>
      <c r="AB847" s="6"/>
      <c r="AC847" s="6"/>
    </row>
    <row r="848" spans="1:29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225"/>
      <c r="O848" s="6"/>
      <c r="P848" s="6"/>
      <c r="Q848" s="6"/>
      <c r="R848" s="6"/>
      <c r="S848" s="6"/>
      <c r="T848" s="6"/>
      <c r="U848" s="6"/>
      <c r="V848" s="55"/>
      <c r="W848" s="6"/>
      <c r="X848" s="6"/>
      <c r="Y848" s="6"/>
      <c r="Z848" s="6"/>
      <c r="AA848" s="6"/>
      <c r="AB848" s="6"/>
      <c r="AC848" s="6"/>
    </row>
    <row r="849" spans="1:29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225"/>
      <c r="O849" s="6"/>
      <c r="P849" s="6"/>
      <c r="Q849" s="6"/>
      <c r="R849" s="6"/>
      <c r="S849" s="6"/>
      <c r="T849" s="6"/>
      <c r="U849" s="6"/>
      <c r="V849" s="55"/>
      <c r="W849" s="6"/>
      <c r="X849" s="6"/>
      <c r="Y849" s="6"/>
      <c r="Z849" s="6"/>
      <c r="AA849" s="6"/>
      <c r="AB849" s="6"/>
      <c r="AC849" s="6"/>
    </row>
    <row r="850" spans="1:29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225"/>
      <c r="O850" s="6"/>
      <c r="P850" s="6"/>
      <c r="Q850" s="6"/>
      <c r="R850" s="6"/>
      <c r="S850" s="6"/>
      <c r="T850" s="6"/>
      <c r="U850" s="6"/>
      <c r="V850" s="55"/>
      <c r="W850" s="6"/>
      <c r="X850" s="6"/>
      <c r="Y850" s="6"/>
      <c r="Z850" s="6"/>
      <c r="AA850" s="6"/>
      <c r="AB850" s="6"/>
      <c r="AC850" s="6"/>
    </row>
    <row r="851" spans="1:29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225"/>
      <c r="O851" s="6"/>
      <c r="P851" s="6"/>
      <c r="Q851" s="6"/>
      <c r="R851" s="6"/>
      <c r="S851" s="6"/>
      <c r="T851" s="6"/>
      <c r="U851" s="6"/>
      <c r="V851" s="55"/>
      <c r="W851" s="6"/>
      <c r="X851" s="6"/>
      <c r="Y851" s="6"/>
      <c r="Z851" s="6"/>
      <c r="AA851" s="6"/>
      <c r="AB851" s="6"/>
      <c r="AC851" s="6"/>
    </row>
    <row r="852" spans="1:29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225"/>
      <c r="O852" s="6"/>
      <c r="P852" s="6"/>
      <c r="Q852" s="6"/>
      <c r="R852" s="6"/>
      <c r="S852" s="6"/>
      <c r="T852" s="6"/>
      <c r="U852" s="6"/>
      <c r="V852" s="55"/>
      <c r="W852" s="6"/>
      <c r="X852" s="6"/>
      <c r="Y852" s="6"/>
      <c r="Z852" s="6"/>
      <c r="AA852" s="6"/>
      <c r="AB852" s="6"/>
      <c r="AC852" s="6"/>
    </row>
    <row r="853" spans="1:29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225"/>
      <c r="O853" s="6"/>
      <c r="P853" s="6"/>
      <c r="Q853" s="6"/>
      <c r="R853" s="6"/>
      <c r="S853" s="6"/>
      <c r="T853" s="6"/>
      <c r="U853" s="6"/>
      <c r="V853" s="55"/>
      <c r="W853" s="6"/>
      <c r="X853" s="6"/>
      <c r="Y853" s="6"/>
      <c r="Z853" s="6"/>
      <c r="AA853" s="6"/>
      <c r="AB853" s="6"/>
      <c r="AC853" s="6"/>
    </row>
    <row r="854" spans="1:29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225"/>
      <c r="O854" s="6"/>
      <c r="P854" s="6"/>
      <c r="Q854" s="6"/>
      <c r="R854" s="6"/>
      <c r="S854" s="6"/>
      <c r="T854" s="6"/>
      <c r="U854" s="6"/>
      <c r="V854" s="55"/>
      <c r="W854" s="6"/>
      <c r="X854" s="6"/>
      <c r="Y854" s="6"/>
      <c r="Z854" s="6"/>
      <c r="AA854" s="6"/>
      <c r="AB854" s="6"/>
      <c r="AC854" s="6"/>
    </row>
    <row r="855" spans="1:29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225"/>
      <c r="O855" s="6"/>
      <c r="P855" s="6"/>
      <c r="Q855" s="6"/>
      <c r="R855" s="6"/>
      <c r="S855" s="6"/>
      <c r="T855" s="6"/>
      <c r="U855" s="6"/>
      <c r="V855" s="55"/>
      <c r="W855" s="6"/>
      <c r="X855" s="6"/>
      <c r="Y855" s="6"/>
      <c r="Z855" s="6"/>
      <c r="AA855" s="6"/>
      <c r="AB855" s="6"/>
      <c r="AC855" s="6"/>
    </row>
    <row r="856" spans="1:29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225"/>
      <c r="O856" s="6"/>
      <c r="P856" s="6"/>
      <c r="Q856" s="6"/>
      <c r="R856" s="6"/>
      <c r="S856" s="6"/>
      <c r="T856" s="6"/>
      <c r="U856" s="6"/>
      <c r="V856" s="55"/>
      <c r="W856" s="6"/>
      <c r="X856" s="6"/>
      <c r="Y856" s="6"/>
      <c r="Z856" s="6"/>
      <c r="AA856" s="6"/>
      <c r="AB856" s="6"/>
      <c r="AC856" s="6"/>
    </row>
    <row r="857" spans="1:29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225"/>
      <c r="O857" s="6"/>
      <c r="P857" s="6"/>
      <c r="Q857" s="6"/>
      <c r="R857" s="6"/>
      <c r="S857" s="6"/>
      <c r="T857" s="6"/>
      <c r="U857" s="6"/>
      <c r="V857" s="55"/>
      <c r="W857" s="6"/>
      <c r="X857" s="6"/>
      <c r="Y857" s="6"/>
      <c r="Z857" s="6"/>
      <c r="AA857" s="6"/>
      <c r="AB857" s="6"/>
      <c r="AC857" s="6"/>
    </row>
    <row r="858" spans="1:29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225"/>
      <c r="O858" s="6"/>
      <c r="P858" s="6"/>
      <c r="Q858" s="6"/>
      <c r="R858" s="6"/>
      <c r="S858" s="6"/>
      <c r="T858" s="6"/>
      <c r="U858" s="6"/>
      <c r="V858" s="55"/>
      <c r="W858" s="6"/>
      <c r="X858" s="6"/>
      <c r="Y858" s="6"/>
      <c r="Z858" s="6"/>
      <c r="AA858" s="6"/>
      <c r="AB858" s="6"/>
      <c r="AC858" s="6"/>
    </row>
    <row r="859" spans="1:29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225"/>
      <c r="O859" s="6"/>
      <c r="P859" s="6"/>
      <c r="Q859" s="6"/>
      <c r="R859" s="6"/>
      <c r="S859" s="6"/>
      <c r="T859" s="6"/>
      <c r="U859" s="6"/>
      <c r="V859" s="55"/>
      <c r="W859" s="6"/>
      <c r="X859" s="6"/>
      <c r="Y859" s="6"/>
      <c r="Z859" s="6"/>
      <c r="AA859" s="6"/>
      <c r="AB859" s="6"/>
      <c r="AC859" s="6"/>
    </row>
    <row r="860" spans="1:29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225"/>
      <c r="O860" s="6"/>
      <c r="P860" s="6"/>
      <c r="Q860" s="6"/>
      <c r="R860" s="6"/>
      <c r="S860" s="6"/>
      <c r="T860" s="6"/>
      <c r="U860" s="6"/>
      <c r="V860" s="55"/>
      <c r="W860" s="6"/>
      <c r="X860" s="6"/>
      <c r="Y860" s="6"/>
      <c r="Z860" s="6"/>
      <c r="AA860" s="6"/>
      <c r="AB860" s="6"/>
      <c r="AC860" s="6"/>
    </row>
    <row r="861" spans="1:29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225"/>
      <c r="O861" s="6"/>
      <c r="P861" s="6"/>
      <c r="Q861" s="6"/>
      <c r="R861" s="6"/>
      <c r="S861" s="6"/>
      <c r="T861" s="6"/>
      <c r="U861" s="6"/>
      <c r="V861" s="55"/>
      <c r="W861" s="6"/>
      <c r="X861" s="6"/>
      <c r="Y861" s="6"/>
      <c r="Z861" s="6"/>
      <c r="AA861" s="6"/>
      <c r="AB861" s="6"/>
      <c r="AC861" s="6"/>
    </row>
    <row r="862" spans="1:29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225"/>
      <c r="O862" s="6"/>
      <c r="P862" s="6"/>
      <c r="Q862" s="6"/>
      <c r="R862" s="6"/>
      <c r="S862" s="6"/>
      <c r="T862" s="6"/>
      <c r="U862" s="6"/>
      <c r="V862" s="55"/>
      <c r="W862" s="6"/>
      <c r="X862" s="6"/>
      <c r="Y862" s="6"/>
      <c r="Z862" s="6"/>
      <c r="AA862" s="6"/>
      <c r="AB862" s="6"/>
      <c r="AC862" s="6"/>
    </row>
    <row r="863" spans="1:29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225"/>
      <c r="O863" s="6"/>
      <c r="P863" s="6"/>
      <c r="Q863" s="6"/>
      <c r="R863" s="6"/>
      <c r="S863" s="6"/>
      <c r="T863" s="6"/>
      <c r="U863" s="6"/>
      <c r="V863" s="55"/>
      <c r="W863" s="6"/>
      <c r="X863" s="6"/>
      <c r="Y863" s="6"/>
      <c r="Z863" s="6"/>
      <c r="AA863" s="6"/>
      <c r="AB863" s="6"/>
      <c r="AC863" s="6"/>
    </row>
    <row r="864" spans="1:29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225"/>
      <c r="O864" s="6"/>
      <c r="P864" s="6"/>
      <c r="Q864" s="6"/>
      <c r="R864" s="6"/>
      <c r="S864" s="6"/>
      <c r="T864" s="6"/>
      <c r="U864" s="6"/>
      <c r="V864" s="55"/>
      <c r="W864" s="6"/>
      <c r="X864" s="6"/>
      <c r="Y864" s="6"/>
      <c r="Z864" s="6"/>
      <c r="AA864" s="6"/>
      <c r="AB864" s="6"/>
      <c r="AC864" s="6"/>
    </row>
    <row r="865" spans="1:29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225"/>
      <c r="O865" s="6"/>
      <c r="P865" s="6"/>
      <c r="Q865" s="6"/>
      <c r="R865" s="6"/>
      <c r="S865" s="6"/>
      <c r="T865" s="6"/>
      <c r="U865" s="6"/>
      <c r="V865" s="55"/>
      <c r="W865" s="6"/>
      <c r="X865" s="6"/>
      <c r="Y865" s="6"/>
      <c r="Z865" s="6"/>
      <c r="AA865" s="6"/>
      <c r="AB865" s="6"/>
      <c r="AC865" s="6"/>
    </row>
    <row r="866" spans="1:29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225"/>
      <c r="O866" s="6"/>
      <c r="P866" s="6"/>
      <c r="Q866" s="6"/>
      <c r="R866" s="6"/>
      <c r="S866" s="6"/>
      <c r="T866" s="6"/>
      <c r="U866" s="6"/>
      <c r="V866" s="55"/>
      <c r="W866" s="6"/>
      <c r="X866" s="6"/>
      <c r="Y866" s="6"/>
      <c r="Z866" s="6"/>
      <c r="AA866" s="6"/>
      <c r="AB866" s="6"/>
      <c r="AC866" s="6"/>
    </row>
    <row r="867" spans="1:29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225"/>
      <c r="O867" s="6"/>
      <c r="P867" s="6"/>
      <c r="Q867" s="6"/>
      <c r="R867" s="6"/>
      <c r="S867" s="6"/>
      <c r="T867" s="6"/>
      <c r="U867" s="6"/>
      <c r="V867" s="55"/>
      <c r="W867" s="6"/>
      <c r="X867" s="6"/>
      <c r="Y867" s="6"/>
      <c r="Z867" s="6"/>
      <c r="AA867" s="6"/>
      <c r="AB867" s="6"/>
      <c r="AC867" s="6"/>
    </row>
    <row r="868" spans="1:29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225"/>
      <c r="O868" s="6"/>
      <c r="P868" s="6"/>
      <c r="Q868" s="6"/>
      <c r="R868" s="6"/>
      <c r="S868" s="6"/>
      <c r="T868" s="6"/>
      <c r="U868" s="6"/>
      <c r="V868" s="55"/>
      <c r="W868" s="6"/>
      <c r="X868" s="6"/>
      <c r="Y868" s="6"/>
      <c r="Z868" s="6"/>
      <c r="AA868" s="6"/>
      <c r="AB868" s="6"/>
      <c r="AC868" s="6"/>
    </row>
    <row r="869" spans="1:29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225"/>
      <c r="O869" s="6"/>
      <c r="P869" s="6"/>
      <c r="Q869" s="6"/>
      <c r="R869" s="6"/>
      <c r="S869" s="6"/>
      <c r="T869" s="6"/>
      <c r="U869" s="6"/>
      <c r="V869" s="55"/>
      <c r="W869" s="6"/>
      <c r="X869" s="6"/>
      <c r="Y869" s="6"/>
      <c r="Z869" s="6"/>
      <c r="AA869" s="6"/>
      <c r="AB869" s="6"/>
      <c r="AC869" s="6"/>
    </row>
    <row r="870" spans="1:29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225"/>
      <c r="O870" s="6"/>
      <c r="P870" s="6"/>
      <c r="Q870" s="6"/>
      <c r="R870" s="6"/>
      <c r="S870" s="6"/>
      <c r="T870" s="6"/>
      <c r="U870" s="6"/>
      <c r="V870" s="55"/>
      <c r="W870" s="6"/>
      <c r="X870" s="6"/>
      <c r="Y870" s="6"/>
      <c r="Z870" s="6"/>
      <c r="AA870" s="6"/>
      <c r="AB870" s="6"/>
      <c r="AC870" s="6"/>
    </row>
    <row r="871" spans="1:29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225"/>
      <c r="O871" s="6"/>
      <c r="P871" s="6"/>
      <c r="Q871" s="6"/>
      <c r="R871" s="6"/>
      <c r="S871" s="6"/>
      <c r="T871" s="6"/>
      <c r="U871" s="6"/>
      <c r="V871" s="55"/>
      <c r="W871" s="6"/>
      <c r="X871" s="6"/>
      <c r="Y871" s="6"/>
      <c r="Z871" s="6"/>
      <c r="AA871" s="6"/>
      <c r="AB871" s="6"/>
      <c r="AC871" s="6"/>
    </row>
    <row r="872" spans="1:29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225"/>
      <c r="O872" s="6"/>
      <c r="P872" s="6"/>
      <c r="Q872" s="6"/>
      <c r="R872" s="6"/>
      <c r="S872" s="6"/>
      <c r="T872" s="6"/>
      <c r="U872" s="6"/>
      <c r="V872" s="55"/>
      <c r="W872" s="6"/>
      <c r="X872" s="6"/>
      <c r="Y872" s="6"/>
      <c r="Z872" s="6"/>
      <c r="AA872" s="6"/>
      <c r="AB872" s="6"/>
      <c r="AC872" s="6"/>
    </row>
    <row r="873" spans="1:29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225"/>
      <c r="O873" s="6"/>
      <c r="P873" s="6"/>
      <c r="Q873" s="6"/>
      <c r="R873" s="6"/>
      <c r="S873" s="6"/>
      <c r="T873" s="6"/>
      <c r="U873" s="6"/>
      <c r="V873" s="55"/>
      <c r="W873" s="6"/>
      <c r="X873" s="6"/>
      <c r="Y873" s="6"/>
      <c r="Z873" s="6"/>
      <c r="AA873" s="6"/>
      <c r="AB873" s="6"/>
      <c r="AC873" s="6"/>
    </row>
    <row r="874" spans="1:29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225"/>
      <c r="O874" s="6"/>
      <c r="P874" s="6"/>
      <c r="Q874" s="6"/>
      <c r="R874" s="6"/>
      <c r="S874" s="6"/>
      <c r="T874" s="6"/>
      <c r="U874" s="6"/>
      <c r="V874" s="55"/>
      <c r="W874" s="6"/>
      <c r="X874" s="6"/>
      <c r="Y874" s="6"/>
      <c r="Z874" s="6"/>
      <c r="AA874" s="6"/>
      <c r="AB874" s="6"/>
      <c r="AC874" s="6"/>
    </row>
    <row r="875" spans="1:29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225"/>
      <c r="O875" s="6"/>
      <c r="P875" s="6"/>
      <c r="Q875" s="6"/>
      <c r="R875" s="6"/>
      <c r="S875" s="6"/>
      <c r="T875" s="6"/>
      <c r="U875" s="6"/>
      <c r="V875" s="55"/>
      <c r="W875" s="6"/>
      <c r="X875" s="6"/>
      <c r="Y875" s="6"/>
      <c r="Z875" s="6"/>
      <c r="AA875" s="6"/>
      <c r="AB875" s="6"/>
      <c r="AC875" s="6"/>
    </row>
    <row r="876" spans="1:29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225"/>
      <c r="O876" s="6"/>
      <c r="P876" s="6"/>
      <c r="Q876" s="6"/>
      <c r="R876" s="6"/>
      <c r="S876" s="6"/>
      <c r="T876" s="6"/>
      <c r="U876" s="6"/>
      <c r="V876" s="55"/>
      <c r="W876" s="6"/>
      <c r="X876" s="6"/>
      <c r="Y876" s="6"/>
      <c r="Z876" s="6"/>
      <c r="AA876" s="6"/>
      <c r="AB876" s="6"/>
      <c r="AC876" s="6"/>
    </row>
    <row r="877" spans="1:29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225"/>
      <c r="O877" s="6"/>
      <c r="P877" s="6"/>
      <c r="Q877" s="6"/>
      <c r="R877" s="6"/>
      <c r="S877" s="6"/>
      <c r="T877" s="6"/>
      <c r="U877" s="6"/>
      <c r="V877" s="55"/>
      <c r="W877" s="6"/>
      <c r="X877" s="6"/>
      <c r="Y877" s="6"/>
      <c r="Z877" s="6"/>
      <c r="AA877" s="6"/>
      <c r="AB877" s="6"/>
      <c r="AC877" s="6"/>
    </row>
    <row r="878" spans="1:29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225"/>
      <c r="O878" s="6"/>
      <c r="P878" s="6"/>
      <c r="Q878" s="6"/>
      <c r="R878" s="6"/>
      <c r="S878" s="6"/>
      <c r="T878" s="6"/>
      <c r="U878" s="6"/>
      <c r="V878" s="55"/>
      <c r="W878" s="6"/>
      <c r="X878" s="6"/>
      <c r="Y878" s="6"/>
      <c r="Z878" s="6"/>
      <c r="AA878" s="6"/>
      <c r="AB878" s="6"/>
      <c r="AC878" s="6"/>
    </row>
    <row r="879" spans="1:29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225"/>
      <c r="O879" s="6"/>
      <c r="P879" s="6"/>
      <c r="Q879" s="6"/>
      <c r="R879" s="6"/>
      <c r="S879" s="6"/>
      <c r="T879" s="6"/>
      <c r="U879" s="6"/>
      <c r="V879" s="55"/>
      <c r="W879" s="6"/>
      <c r="X879" s="6"/>
      <c r="Y879" s="6"/>
      <c r="Z879" s="6"/>
      <c r="AA879" s="6"/>
      <c r="AB879" s="6"/>
      <c r="AC879" s="6"/>
    </row>
    <row r="880" spans="1:29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225"/>
      <c r="O880" s="6"/>
      <c r="P880" s="6"/>
      <c r="Q880" s="6"/>
      <c r="R880" s="6"/>
      <c r="S880" s="6"/>
      <c r="T880" s="6"/>
      <c r="U880" s="6"/>
      <c r="V880" s="55"/>
      <c r="W880" s="6"/>
      <c r="X880" s="6"/>
      <c r="Y880" s="6"/>
      <c r="Z880" s="6"/>
      <c r="AA880" s="6"/>
      <c r="AB880" s="6"/>
      <c r="AC880" s="6"/>
    </row>
    <row r="881" spans="1:29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225"/>
      <c r="O881" s="6"/>
      <c r="P881" s="6"/>
      <c r="Q881" s="6"/>
      <c r="R881" s="6"/>
      <c r="S881" s="6"/>
      <c r="T881" s="6"/>
      <c r="U881" s="6"/>
      <c r="V881" s="55"/>
      <c r="W881" s="6"/>
      <c r="X881" s="6"/>
      <c r="Y881" s="6"/>
      <c r="Z881" s="6"/>
      <c r="AA881" s="6"/>
      <c r="AB881" s="6"/>
      <c r="AC881" s="6"/>
    </row>
    <row r="882" spans="1:29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225"/>
      <c r="O882" s="6"/>
      <c r="P882" s="6"/>
      <c r="Q882" s="6"/>
      <c r="R882" s="6"/>
      <c r="S882" s="6"/>
      <c r="T882" s="6"/>
      <c r="U882" s="6"/>
      <c r="V882" s="55"/>
      <c r="W882" s="6"/>
      <c r="X882" s="6"/>
      <c r="Y882" s="6"/>
      <c r="Z882" s="6"/>
      <c r="AA882" s="6"/>
      <c r="AB882" s="6"/>
      <c r="AC882" s="6"/>
    </row>
    <row r="883" spans="1:29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225"/>
      <c r="O883" s="6"/>
      <c r="P883" s="6"/>
      <c r="Q883" s="6"/>
      <c r="R883" s="6"/>
      <c r="S883" s="6"/>
      <c r="T883" s="6"/>
      <c r="U883" s="6"/>
      <c r="V883" s="55"/>
      <c r="W883" s="6"/>
      <c r="X883" s="6"/>
      <c r="Y883" s="6"/>
      <c r="Z883" s="6"/>
      <c r="AA883" s="6"/>
      <c r="AB883" s="6"/>
      <c r="AC883" s="6"/>
    </row>
    <row r="884" spans="1:29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225"/>
      <c r="O884" s="6"/>
      <c r="P884" s="6"/>
      <c r="Q884" s="6"/>
      <c r="R884" s="6"/>
      <c r="S884" s="6"/>
      <c r="T884" s="6"/>
      <c r="U884" s="6"/>
      <c r="V884" s="55"/>
      <c r="W884" s="6"/>
      <c r="X884" s="6"/>
      <c r="Y884" s="6"/>
      <c r="Z884" s="6"/>
      <c r="AA884" s="6"/>
      <c r="AB884" s="6"/>
      <c r="AC884" s="6"/>
    </row>
    <row r="885" spans="1:29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225"/>
      <c r="O885" s="6"/>
      <c r="P885" s="6"/>
      <c r="Q885" s="6"/>
      <c r="R885" s="6"/>
      <c r="S885" s="6"/>
      <c r="T885" s="6"/>
      <c r="U885" s="6"/>
      <c r="V885" s="55"/>
      <c r="W885" s="6"/>
      <c r="X885" s="6"/>
      <c r="Y885" s="6"/>
      <c r="Z885" s="6"/>
      <c r="AA885" s="6"/>
      <c r="AB885" s="6"/>
      <c r="AC885" s="6"/>
    </row>
    <row r="886" spans="1:29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225"/>
      <c r="O886" s="6"/>
      <c r="P886" s="6"/>
      <c r="Q886" s="6"/>
      <c r="R886" s="6"/>
      <c r="S886" s="6"/>
      <c r="T886" s="6"/>
      <c r="U886" s="6"/>
      <c r="V886" s="55"/>
      <c r="W886" s="6"/>
      <c r="X886" s="6"/>
      <c r="Y886" s="6"/>
      <c r="Z886" s="6"/>
      <c r="AA886" s="6"/>
      <c r="AB886" s="6"/>
      <c r="AC886" s="6"/>
    </row>
    <row r="887" spans="1:29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225"/>
      <c r="O887" s="6"/>
      <c r="P887" s="6"/>
      <c r="Q887" s="6"/>
      <c r="R887" s="6"/>
      <c r="S887" s="6"/>
      <c r="T887" s="6"/>
      <c r="U887" s="6"/>
      <c r="V887" s="55"/>
      <c r="W887" s="6"/>
      <c r="X887" s="6"/>
      <c r="Y887" s="6"/>
      <c r="Z887" s="6"/>
      <c r="AA887" s="6"/>
      <c r="AB887" s="6"/>
      <c r="AC887" s="6"/>
    </row>
    <row r="888" spans="1:29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225"/>
      <c r="O888" s="6"/>
      <c r="P888" s="6"/>
      <c r="Q888" s="6"/>
      <c r="R888" s="6"/>
      <c r="S888" s="6"/>
      <c r="T888" s="6"/>
      <c r="U888" s="6"/>
      <c r="V888" s="55"/>
      <c r="W888" s="6"/>
      <c r="X888" s="6"/>
      <c r="Y888" s="6"/>
      <c r="Z888" s="6"/>
      <c r="AA888" s="6"/>
      <c r="AB888" s="6"/>
      <c r="AC888" s="6"/>
    </row>
    <row r="889" spans="1:29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225"/>
      <c r="O889" s="6"/>
      <c r="P889" s="6"/>
      <c r="Q889" s="6"/>
      <c r="R889" s="6"/>
      <c r="S889" s="6"/>
      <c r="T889" s="6"/>
      <c r="U889" s="6"/>
      <c r="V889" s="55"/>
      <c r="W889" s="6"/>
      <c r="X889" s="6"/>
      <c r="Y889" s="6"/>
      <c r="Z889" s="6"/>
      <c r="AA889" s="6"/>
      <c r="AB889" s="6"/>
      <c r="AC889" s="6"/>
    </row>
    <row r="890" spans="1:29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225"/>
      <c r="O890" s="6"/>
      <c r="P890" s="6"/>
      <c r="Q890" s="6"/>
      <c r="R890" s="6"/>
      <c r="S890" s="6"/>
      <c r="T890" s="6"/>
      <c r="U890" s="6"/>
      <c r="V890" s="55"/>
      <c r="W890" s="6"/>
      <c r="X890" s="6"/>
      <c r="Y890" s="6"/>
      <c r="Z890" s="6"/>
      <c r="AA890" s="6"/>
      <c r="AB890" s="6"/>
      <c r="AC890" s="6"/>
    </row>
    <row r="891" spans="1:29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225"/>
      <c r="O891" s="6"/>
      <c r="P891" s="6"/>
      <c r="Q891" s="6"/>
      <c r="R891" s="6"/>
      <c r="S891" s="6"/>
      <c r="T891" s="6"/>
      <c r="U891" s="6"/>
      <c r="V891" s="55"/>
      <c r="W891" s="6"/>
      <c r="X891" s="6"/>
      <c r="Y891" s="6"/>
      <c r="Z891" s="6"/>
      <c r="AA891" s="6"/>
      <c r="AB891" s="6"/>
      <c r="AC891" s="6"/>
    </row>
    <row r="892" spans="1:29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225"/>
      <c r="O892" s="6"/>
      <c r="P892" s="6"/>
      <c r="Q892" s="6"/>
      <c r="R892" s="6"/>
      <c r="S892" s="6"/>
      <c r="T892" s="6"/>
      <c r="U892" s="6"/>
      <c r="V892" s="55"/>
      <c r="W892" s="6"/>
      <c r="X892" s="6"/>
      <c r="Y892" s="6"/>
      <c r="Z892" s="6"/>
      <c r="AA892" s="6"/>
      <c r="AB892" s="6"/>
      <c r="AC892" s="6"/>
    </row>
    <row r="893" spans="1:29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225"/>
      <c r="O893" s="6"/>
      <c r="P893" s="6"/>
      <c r="Q893" s="6"/>
      <c r="R893" s="6"/>
      <c r="S893" s="6"/>
      <c r="T893" s="6"/>
      <c r="U893" s="6"/>
      <c r="V893" s="55"/>
      <c r="W893" s="6"/>
      <c r="X893" s="6"/>
      <c r="Y893" s="6"/>
      <c r="Z893" s="6"/>
      <c r="AA893" s="6"/>
      <c r="AB893" s="6"/>
      <c r="AC893" s="6"/>
    </row>
    <row r="894" spans="1:29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225"/>
      <c r="O894" s="6"/>
      <c r="P894" s="6"/>
      <c r="Q894" s="6"/>
      <c r="R894" s="6"/>
      <c r="S894" s="6"/>
      <c r="T894" s="6"/>
      <c r="U894" s="6"/>
      <c r="V894" s="55"/>
      <c r="W894" s="6"/>
      <c r="X894" s="6"/>
      <c r="Y894" s="6"/>
      <c r="Z894" s="6"/>
      <c r="AA894" s="6"/>
      <c r="AB894" s="6"/>
      <c r="AC894" s="6"/>
    </row>
    <row r="895" spans="1:29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225"/>
      <c r="O895" s="6"/>
      <c r="P895" s="6"/>
      <c r="Q895" s="6"/>
      <c r="R895" s="6"/>
      <c r="S895" s="6"/>
      <c r="T895" s="6"/>
      <c r="U895" s="6"/>
      <c r="V895" s="55"/>
      <c r="W895" s="6"/>
      <c r="X895" s="6"/>
      <c r="Y895" s="6"/>
      <c r="Z895" s="6"/>
      <c r="AA895" s="6"/>
      <c r="AB895" s="6"/>
      <c r="AC895" s="6"/>
    </row>
    <row r="896" spans="1:29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225"/>
      <c r="O896" s="6"/>
      <c r="P896" s="6"/>
      <c r="Q896" s="6"/>
      <c r="R896" s="6"/>
      <c r="S896" s="6"/>
      <c r="T896" s="6"/>
      <c r="U896" s="6"/>
      <c r="V896" s="55"/>
      <c r="W896" s="6"/>
      <c r="X896" s="6"/>
      <c r="Y896" s="6"/>
      <c r="Z896" s="6"/>
      <c r="AA896" s="6"/>
      <c r="AB896" s="6"/>
      <c r="AC896" s="6"/>
    </row>
    <row r="897" spans="1:29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225"/>
      <c r="O897" s="6"/>
      <c r="P897" s="6"/>
      <c r="Q897" s="6"/>
      <c r="R897" s="6"/>
      <c r="S897" s="6"/>
      <c r="T897" s="6"/>
      <c r="U897" s="6"/>
      <c r="V897" s="55"/>
      <c r="W897" s="6"/>
      <c r="X897" s="6"/>
      <c r="Y897" s="6"/>
      <c r="Z897" s="6"/>
      <c r="AA897" s="6"/>
      <c r="AB897" s="6"/>
      <c r="AC897" s="6"/>
    </row>
    <row r="898" spans="1:29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225"/>
      <c r="O898" s="6"/>
      <c r="P898" s="6"/>
      <c r="Q898" s="6"/>
      <c r="R898" s="6"/>
      <c r="S898" s="6"/>
      <c r="T898" s="6"/>
      <c r="U898" s="6"/>
      <c r="V898" s="55"/>
      <c r="W898" s="6"/>
      <c r="X898" s="6"/>
      <c r="Y898" s="6"/>
      <c r="Z898" s="6"/>
      <c r="AA898" s="6"/>
      <c r="AB898" s="6"/>
      <c r="AC898" s="6"/>
    </row>
    <row r="899" spans="1:29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225"/>
      <c r="O899" s="6"/>
      <c r="P899" s="6"/>
      <c r="Q899" s="6"/>
      <c r="R899" s="6"/>
      <c r="S899" s="6"/>
      <c r="T899" s="6"/>
      <c r="U899" s="6"/>
      <c r="V899" s="55"/>
      <c r="W899" s="6"/>
      <c r="X899" s="6"/>
      <c r="Y899" s="6"/>
      <c r="Z899" s="6"/>
      <c r="AA899" s="6"/>
      <c r="AB899" s="6"/>
      <c r="AC899" s="6"/>
    </row>
    <row r="900" spans="1:29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225"/>
      <c r="O900" s="6"/>
      <c r="P900" s="6"/>
      <c r="Q900" s="6"/>
      <c r="R900" s="6"/>
      <c r="S900" s="6"/>
      <c r="T900" s="6"/>
      <c r="U900" s="6"/>
      <c r="V900" s="55"/>
      <c r="W900" s="6"/>
      <c r="X900" s="6"/>
      <c r="Y900" s="6"/>
      <c r="Z900" s="6"/>
      <c r="AA900" s="6"/>
      <c r="AB900" s="6"/>
      <c r="AC900" s="6"/>
    </row>
    <row r="901" spans="1:29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225"/>
      <c r="O901" s="6"/>
      <c r="P901" s="6"/>
      <c r="Q901" s="6"/>
      <c r="R901" s="6"/>
      <c r="S901" s="6"/>
      <c r="T901" s="6"/>
      <c r="U901" s="6"/>
      <c r="V901" s="55"/>
      <c r="W901" s="6"/>
      <c r="X901" s="6"/>
      <c r="Y901" s="6"/>
      <c r="Z901" s="6"/>
      <c r="AA901" s="6"/>
      <c r="AB901" s="6"/>
      <c r="AC901" s="6"/>
    </row>
    <row r="902" spans="1:29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225"/>
      <c r="O902" s="6"/>
      <c r="P902" s="6"/>
      <c r="Q902" s="6"/>
      <c r="R902" s="6"/>
      <c r="S902" s="6"/>
      <c r="T902" s="6"/>
      <c r="U902" s="6"/>
      <c r="V902" s="55"/>
      <c r="W902" s="6"/>
      <c r="X902" s="6"/>
      <c r="Y902" s="6"/>
      <c r="Z902" s="6"/>
      <c r="AA902" s="6"/>
      <c r="AB902" s="6"/>
      <c r="AC902" s="6"/>
    </row>
    <row r="903" spans="1:29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225"/>
      <c r="O903" s="6"/>
      <c r="P903" s="6"/>
      <c r="Q903" s="6"/>
      <c r="R903" s="6"/>
      <c r="S903" s="6"/>
      <c r="T903" s="6"/>
      <c r="U903" s="6"/>
      <c r="V903" s="55"/>
      <c r="W903" s="6"/>
      <c r="X903" s="6"/>
      <c r="Y903" s="6"/>
      <c r="Z903" s="6"/>
      <c r="AA903" s="6"/>
      <c r="AB903" s="6"/>
      <c r="AC903" s="6"/>
    </row>
    <row r="904" spans="1:29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225"/>
      <c r="O904" s="6"/>
      <c r="P904" s="6"/>
      <c r="Q904" s="6"/>
      <c r="R904" s="6"/>
      <c r="S904" s="6"/>
      <c r="T904" s="6"/>
      <c r="U904" s="6"/>
      <c r="V904" s="55"/>
      <c r="W904" s="6"/>
      <c r="X904" s="6"/>
      <c r="Y904" s="6"/>
      <c r="Z904" s="6"/>
      <c r="AA904" s="6"/>
      <c r="AB904" s="6"/>
      <c r="AC904" s="6"/>
    </row>
    <row r="905" spans="1:29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225"/>
      <c r="O905" s="6"/>
      <c r="P905" s="6"/>
      <c r="Q905" s="6"/>
      <c r="R905" s="6"/>
      <c r="S905" s="6"/>
      <c r="T905" s="6"/>
      <c r="U905" s="6"/>
      <c r="V905" s="55"/>
      <c r="W905" s="6"/>
      <c r="X905" s="6"/>
      <c r="Y905" s="6"/>
      <c r="Z905" s="6"/>
      <c r="AA905" s="6"/>
      <c r="AB905" s="6"/>
      <c r="AC905" s="6"/>
    </row>
    <row r="906" spans="1:29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225"/>
      <c r="O906" s="6"/>
      <c r="P906" s="6"/>
      <c r="Q906" s="6"/>
      <c r="R906" s="6"/>
      <c r="S906" s="6"/>
      <c r="T906" s="6"/>
      <c r="U906" s="6"/>
      <c r="V906" s="55"/>
      <c r="W906" s="6"/>
      <c r="X906" s="6"/>
      <c r="Y906" s="6"/>
      <c r="Z906" s="6"/>
      <c r="AA906" s="6"/>
      <c r="AB906" s="6"/>
      <c r="AC906" s="6"/>
    </row>
    <row r="907" spans="1:29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225"/>
      <c r="O907" s="6"/>
      <c r="P907" s="6"/>
      <c r="Q907" s="6"/>
      <c r="R907" s="6"/>
      <c r="S907" s="6"/>
      <c r="T907" s="6"/>
      <c r="U907" s="6"/>
      <c r="V907" s="55"/>
      <c r="W907" s="6"/>
      <c r="X907" s="6"/>
      <c r="Y907" s="6"/>
      <c r="Z907" s="6"/>
      <c r="AA907" s="6"/>
      <c r="AB907" s="6"/>
      <c r="AC907" s="6"/>
    </row>
    <row r="908" spans="1:29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225"/>
      <c r="O908" s="6"/>
      <c r="P908" s="6"/>
      <c r="Q908" s="6"/>
      <c r="R908" s="6"/>
      <c r="S908" s="6"/>
      <c r="T908" s="6"/>
      <c r="U908" s="6"/>
      <c r="V908" s="55"/>
      <c r="W908" s="6"/>
      <c r="X908" s="6"/>
      <c r="Y908" s="6"/>
      <c r="Z908" s="6"/>
      <c r="AA908" s="6"/>
      <c r="AB908" s="6"/>
      <c r="AC908" s="6"/>
    </row>
    <row r="909" spans="1:29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225"/>
      <c r="O909" s="6"/>
      <c r="P909" s="6"/>
      <c r="Q909" s="6"/>
      <c r="R909" s="6"/>
      <c r="S909" s="6"/>
      <c r="T909" s="6"/>
      <c r="U909" s="6"/>
      <c r="V909" s="55"/>
      <c r="W909" s="6"/>
      <c r="X909" s="6"/>
      <c r="Y909" s="6"/>
      <c r="Z909" s="6"/>
      <c r="AA909" s="6"/>
      <c r="AB909" s="6"/>
      <c r="AC909" s="6"/>
    </row>
    <row r="910" spans="1:29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225"/>
      <c r="O910" s="6"/>
      <c r="P910" s="6"/>
      <c r="Q910" s="6"/>
      <c r="R910" s="6"/>
      <c r="S910" s="6"/>
      <c r="T910" s="6"/>
      <c r="U910" s="6"/>
      <c r="V910" s="55"/>
      <c r="W910" s="6"/>
      <c r="X910" s="6"/>
      <c r="Y910" s="6"/>
      <c r="Z910" s="6"/>
      <c r="AA910" s="6"/>
      <c r="AB910" s="6"/>
      <c r="AC910" s="6"/>
    </row>
    <row r="911" spans="1:29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225"/>
      <c r="O911" s="6"/>
      <c r="P911" s="6"/>
      <c r="Q911" s="6"/>
      <c r="R911" s="6"/>
      <c r="S911" s="6"/>
      <c r="T911" s="6"/>
      <c r="U911" s="6"/>
      <c r="V911" s="55"/>
      <c r="W911" s="6"/>
      <c r="X911" s="6"/>
      <c r="Y911" s="6"/>
      <c r="Z911" s="6"/>
      <c r="AA911" s="6"/>
      <c r="AB911" s="6"/>
      <c r="AC911" s="6"/>
    </row>
    <row r="912" spans="1:29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225"/>
      <c r="O912" s="6"/>
      <c r="P912" s="6"/>
      <c r="Q912" s="6"/>
      <c r="R912" s="6"/>
      <c r="S912" s="6"/>
      <c r="T912" s="6"/>
      <c r="U912" s="6"/>
      <c r="V912" s="55"/>
      <c r="W912" s="6"/>
      <c r="X912" s="6"/>
      <c r="Y912" s="6"/>
      <c r="Z912" s="6"/>
      <c r="AA912" s="6"/>
      <c r="AB912" s="6"/>
      <c r="AC912" s="6"/>
    </row>
    <row r="913" spans="1:29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225"/>
      <c r="O913" s="6"/>
      <c r="P913" s="6"/>
      <c r="Q913" s="6"/>
      <c r="R913" s="6"/>
      <c r="S913" s="6"/>
      <c r="T913" s="6"/>
      <c r="U913" s="6"/>
      <c r="V913" s="55"/>
      <c r="W913" s="6"/>
      <c r="X913" s="6"/>
      <c r="Y913" s="6"/>
      <c r="Z913" s="6"/>
      <c r="AA913" s="6"/>
      <c r="AB913" s="6"/>
      <c r="AC913" s="6"/>
    </row>
    <row r="914" spans="1:29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225"/>
      <c r="O914" s="6"/>
      <c r="P914" s="6"/>
      <c r="Q914" s="6"/>
      <c r="R914" s="6"/>
      <c r="S914" s="6"/>
      <c r="T914" s="6"/>
      <c r="U914" s="6"/>
      <c r="V914" s="55"/>
      <c r="W914" s="6"/>
      <c r="X914" s="6"/>
      <c r="Y914" s="6"/>
      <c r="Z914" s="6"/>
      <c r="AA914" s="6"/>
      <c r="AB914" s="6"/>
      <c r="AC914" s="6"/>
    </row>
    <row r="915" spans="1:29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225"/>
      <c r="O915" s="6"/>
      <c r="P915" s="6"/>
      <c r="Q915" s="6"/>
      <c r="R915" s="6"/>
      <c r="S915" s="6"/>
      <c r="T915" s="6"/>
      <c r="U915" s="6"/>
      <c r="V915" s="55"/>
      <c r="W915" s="6"/>
      <c r="X915" s="6"/>
      <c r="Y915" s="6"/>
      <c r="Z915" s="6"/>
      <c r="AA915" s="6"/>
      <c r="AB915" s="6"/>
      <c r="AC915" s="6"/>
    </row>
    <row r="916" spans="1:29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225"/>
      <c r="O916" s="6"/>
      <c r="P916" s="6"/>
      <c r="Q916" s="6"/>
      <c r="R916" s="6"/>
      <c r="S916" s="6"/>
      <c r="T916" s="6"/>
      <c r="U916" s="6"/>
      <c r="V916" s="55"/>
      <c r="W916" s="6"/>
      <c r="X916" s="6"/>
      <c r="Y916" s="6"/>
      <c r="Z916" s="6"/>
      <c r="AA916" s="6"/>
      <c r="AB916" s="6"/>
      <c r="AC916" s="6"/>
    </row>
    <row r="917" spans="1:29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225"/>
      <c r="O917" s="6"/>
      <c r="P917" s="6"/>
      <c r="Q917" s="6"/>
      <c r="R917" s="6"/>
      <c r="S917" s="6"/>
      <c r="T917" s="6"/>
      <c r="U917" s="6"/>
      <c r="V917" s="55"/>
      <c r="W917" s="6"/>
      <c r="X917" s="6"/>
      <c r="Y917" s="6"/>
      <c r="Z917" s="6"/>
      <c r="AA917" s="6"/>
      <c r="AB917" s="6"/>
      <c r="AC917" s="6"/>
    </row>
    <row r="918" spans="1:29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225"/>
      <c r="O918" s="6"/>
      <c r="P918" s="6"/>
      <c r="Q918" s="6"/>
      <c r="R918" s="6"/>
      <c r="S918" s="6"/>
      <c r="T918" s="6"/>
      <c r="U918" s="6"/>
      <c r="V918" s="55"/>
      <c r="W918" s="6"/>
      <c r="X918" s="6"/>
      <c r="Y918" s="6"/>
      <c r="Z918" s="6"/>
      <c r="AA918" s="6"/>
      <c r="AB918" s="6"/>
      <c r="AC918" s="6"/>
    </row>
    <row r="919" spans="1:29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225"/>
      <c r="O919" s="6"/>
      <c r="P919" s="6"/>
      <c r="Q919" s="6"/>
      <c r="R919" s="6"/>
      <c r="S919" s="6"/>
      <c r="T919" s="6"/>
      <c r="U919" s="6"/>
      <c r="V919" s="55"/>
      <c r="W919" s="6"/>
      <c r="X919" s="6"/>
      <c r="Y919" s="6"/>
      <c r="Z919" s="6"/>
      <c r="AA919" s="6"/>
      <c r="AB919" s="6"/>
      <c r="AC919" s="6"/>
    </row>
    <row r="920" spans="1:29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225"/>
      <c r="O920" s="6"/>
      <c r="P920" s="6"/>
      <c r="Q920" s="6"/>
      <c r="R920" s="6"/>
      <c r="S920" s="6"/>
      <c r="T920" s="6"/>
      <c r="U920" s="6"/>
      <c r="V920" s="55"/>
      <c r="W920" s="6"/>
      <c r="X920" s="6"/>
      <c r="Y920" s="6"/>
      <c r="Z920" s="6"/>
      <c r="AA920" s="6"/>
      <c r="AB920" s="6"/>
      <c r="AC920" s="6"/>
    </row>
    <row r="921" spans="1:29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225"/>
      <c r="O921" s="6"/>
      <c r="P921" s="6"/>
      <c r="Q921" s="6"/>
      <c r="R921" s="6"/>
      <c r="S921" s="6"/>
      <c r="T921" s="6"/>
      <c r="U921" s="6"/>
      <c r="V921" s="55"/>
      <c r="W921" s="6"/>
      <c r="X921" s="6"/>
      <c r="Y921" s="6"/>
      <c r="Z921" s="6"/>
      <c r="AA921" s="6"/>
      <c r="AB921" s="6"/>
      <c r="AC921" s="6"/>
    </row>
    <row r="922" spans="1:29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225"/>
      <c r="O922" s="6"/>
      <c r="P922" s="6"/>
      <c r="Q922" s="6"/>
      <c r="R922" s="6"/>
      <c r="S922" s="6"/>
      <c r="T922" s="6"/>
      <c r="U922" s="6"/>
      <c r="V922" s="55"/>
      <c r="W922" s="6"/>
      <c r="X922" s="6"/>
      <c r="Y922" s="6"/>
      <c r="Z922" s="6"/>
      <c r="AA922" s="6"/>
      <c r="AB922" s="6"/>
      <c r="AC922" s="6"/>
    </row>
    <row r="923" spans="1:29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225"/>
      <c r="O923" s="6"/>
      <c r="P923" s="6"/>
      <c r="Q923" s="6"/>
      <c r="R923" s="6"/>
      <c r="S923" s="6"/>
      <c r="T923" s="6"/>
      <c r="U923" s="6"/>
      <c r="V923" s="55"/>
      <c r="W923" s="6"/>
      <c r="X923" s="6"/>
      <c r="Y923" s="6"/>
      <c r="Z923" s="6"/>
      <c r="AA923" s="6"/>
      <c r="AB923" s="6"/>
      <c r="AC923" s="6"/>
    </row>
    <row r="924" spans="1:29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225"/>
      <c r="O924" s="6"/>
      <c r="P924" s="6"/>
      <c r="Q924" s="6"/>
      <c r="R924" s="6"/>
      <c r="S924" s="6"/>
      <c r="T924" s="6"/>
      <c r="U924" s="6"/>
      <c r="V924" s="55"/>
      <c r="W924" s="6"/>
      <c r="X924" s="6"/>
      <c r="Y924" s="6"/>
      <c r="Z924" s="6"/>
      <c r="AA924" s="6"/>
      <c r="AB924" s="6"/>
      <c r="AC924" s="6"/>
    </row>
    <row r="925" spans="1:29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225"/>
      <c r="O925" s="6"/>
      <c r="P925" s="6"/>
      <c r="Q925" s="6"/>
      <c r="R925" s="6"/>
      <c r="S925" s="6"/>
      <c r="T925" s="6"/>
      <c r="U925" s="6"/>
      <c r="V925" s="55"/>
      <c r="W925" s="6"/>
      <c r="X925" s="6"/>
      <c r="Y925" s="6"/>
      <c r="Z925" s="6"/>
      <c r="AA925" s="6"/>
      <c r="AB925" s="6"/>
      <c r="AC925" s="6"/>
    </row>
    <row r="926" spans="1:29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225"/>
      <c r="O926" s="6"/>
      <c r="P926" s="6"/>
      <c r="Q926" s="6"/>
      <c r="R926" s="6"/>
      <c r="S926" s="6"/>
      <c r="T926" s="6"/>
      <c r="U926" s="6"/>
      <c r="V926" s="55"/>
      <c r="W926" s="6"/>
      <c r="X926" s="6"/>
      <c r="Y926" s="6"/>
      <c r="Z926" s="6"/>
      <c r="AA926" s="6"/>
      <c r="AB926" s="6"/>
      <c r="AC926" s="6"/>
    </row>
    <row r="927" spans="1:29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225"/>
      <c r="O927" s="6"/>
      <c r="P927" s="6"/>
      <c r="Q927" s="6"/>
      <c r="R927" s="6"/>
      <c r="S927" s="6"/>
      <c r="T927" s="6"/>
      <c r="U927" s="6"/>
      <c r="V927" s="55"/>
      <c r="W927" s="6"/>
      <c r="X927" s="6"/>
      <c r="Y927" s="6"/>
      <c r="Z927" s="6"/>
      <c r="AA927" s="6"/>
      <c r="AB927" s="6"/>
      <c r="AC927" s="6"/>
    </row>
    <row r="928" spans="1:29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225"/>
      <c r="O928" s="6"/>
      <c r="P928" s="6"/>
      <c r="Q928" s="6"/>
      <c r="R928" s="6"/>
      <c r="S928" s="6"/>
      <c r="T928" s="6"/>
      <c r="U928" s="6"/>
      <c r="V928" s="55"/>
      <c r="W928" s="6"/>
      <c r="X928" s="6"/>
      <c r="Y928" s="6"/>
      <c r="Z928" s="6"/>
      <c r="AA928" s="6"/>
      <c r="AB928" s="6"/>
      <c r="AC928" s="6"/>
    </row>
    <row r="929" spans="1:29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225"/>
      <c r="O929" s="6"/>
      <c r="P929" s="6"/>
      <c r="Q929" s="6"/>
      <c r="R929" s="6"/>
      <c r="S929" s="6"/>
      <c r="T929" s="6"/>
      <c r="U929" s="6"/>
      <c r="V929" s="55"/>
      <c r="W929" s="6"/>
      <c r="X929" s="6"/>
      <c r="Y929" s="6"/>
      <c r="Z929" s="6"/>
      <c r="AA929" s="6"/>
      <c r="AB929" s="6"/>
      <c r="AC929" s="6"/>
    </row>
    <row r="930" spans="1:29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225"/>
      <c r="O930" s="6"/>
      <c r="P930" s="6"/>
      <c r="Q930" s="6"/>
      <c r="R930" s="6"/>
      <c r="S930" s="6"/>
      <c r="T930" s="6"/>
      <c r="U930" s="6"/>
      <c r="V930" s="55"/>
      <c r="W930" s="6"/>
      <c r="X930" s="6"/>
      <c r="Y930" s="6"/>
      <c r="Z930" s="6"/>
      <c r="AA930" s="6"/>
      <c r="AB930" s="6"/>
      <c r="AC930" s="6"/>
    </row>
    <row r="931" spans="1:29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225"/>
      <c r="O931" s="6"/>
      <c r="P931" s="6"/>
      <c r="Q931" s="6"/>
      <c r="R931" s="6"/>
      <c r="S931" s="6"/>
      <c r="T931" s="6"/>
      <c r="U931" s="6"/>
      <c r="V931" s="55"/>
      <c r="W931" s="6"/>
      <c r="X931" s="6"/>
      <c r="Y931" s="6"/>
      <c r="Z931" s="6"/>
      <c r="AA931" s="6"/>
      <c r="AB931" s="6"/>
      <c r="AC931" s="6"/>
    </row>
    <row r="932" spans="1:29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225"/>
      <c r="O932" s="6"/>
      <c r="P932" s="6"/>
      <c r="Q932" s="6"/>
      <c r="R932" s="6"/>
      <c r="S932" s="6"/>
      <c r="T932" s="6"/>
      <c r="U932" s="6"/>
      <c r="V932" s="55"/>
      <c r="W932" s="6"/>
      <c r="X932" s="6"/>
      <c r="Y932" s="6"/>
      <c r="Z932" s="6"/>
      <c r="AA932" s="6"/>
      <c r="AB932" s="6"/>
      <c r="AC932" s="6"/>
    </row>
    <row r="933" spans="1:29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225"/>
      <c r="O933" s="6"/>
      <c r="P933" s="6"/>
      <c r="Q933" s="6"/>
      <c r="R933" s="6"/>
      <c r="S933" s="6"/>
      <c r="T933" s="6"/>
      <c r="U933" s="6"/>
      <c r="V933" s="55"/>
      <c r="W933" s="6"/>
      <c r="X933" s="6"/>
      <c r="Y933" s="6"/>
      <c r="Z933" s="6"/>
      <c r="AA933" s="6"/>
      <c r="AB933" s="6"/>
      <c r="AC933" s="6"/>
    </row>
    <row r="934" spans="1:29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225"/>
      <c r="O934" s="6"/>
      <c r="P934" s="6"/>
      <c r="Q934" s="6"/>
      <c r="R934" s="6"/>
      <c r="S934" s="6"/>
      <c r="T934" s="6"/>
      <c r="U934" s="6"/>
      <c r="V934" s="55"/>
      <c r="W934" s="6"/>
      <c r="X934" s="6"/>
      <c r="Y934" s="6"/>
      <c r="Z934" s="6"/>
      <c r="AA934" s="6"/>
      <c r="AB934" s="6"/>
      <c r="AC934" s="6"/>
    </row>
    <row r="935" spans="1:29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225"/>
      <c r="O935" s="6"/>
      <c r="P935" s="6"/>
      <c r="Q935" s="6"/>
      <c r="R935" s="6"/>
      <c r="S935" s="6"/>
      <c r="T935" s="6"/>
      <c r="U935" s="6"/>
      <c r="V935" s="55"/>
      <c r="W935" s="6"/>
      <c r="X935" s="6"/>
      <c r="Y935" s="6"/>
      <c r="Z935" s="6"/>
      <c r="AA935" s="6"/>
      <c r="AB935" s="6"/>
      <c r="AC935" s="6"/>
    </row>
    <row r="936" spans="1:29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225"/>
      <c r="O936" s="6"/>
      <c r="P936" s="6"/>
      <c r="Q936" s="6"/>
      <c r="R936" s="6"/>
      <c r="S936" s="6"/>
      <c r="T936" s="6"/>
      <c r="U936" s="6"/>
      <c r="V936" s="55"/>
      <c r="W936" s="6"/>
      <c r="X936" s="6"/>
      <c r="Y936" s="6"/>
      <c r="Z936" s="6"/>
      <c r="AA936" s="6"/>
      <c r="AB936" s="6"/>
      <c r="AC936" s="6"/>
    </row>
    <row r="937" spans="1:29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225"/>
      <c r="O937" s="6"/>
      <c r="P937" s="6"/>
      <c r="Q937" s="6"/>
      <c r="R937" s="6"/>
      <c r="S937" s="6"/>
      <c r="T937" s="6"/>
      <c r="U937" s="6"/>
      <c r="V937" s="55"/>
      <c r="W937" s="6"/>
      <c r="X937" s="6"/>
      <c r="Y937" s="6"/>
      <c r="Z937" s="6"/>
      <c r="AA937" s="6"/>
      <c r="AB937" s="6"/>
      <c r="AC937" s="6"/>
    </row>
    <row r="938" spans="1:29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225"/>
      <c r="O938" s="6"/>
      <c r="P938" s="6"/>
      <c r="Q938" s="6"/>
      <c r="R938" s="6"/>
      <c r="S938" s="6"/>
      <c r="T938" s="6"/>
      <c r="U938" s="6"/>
      <c r="V938" s="55"/>
      <c r="W938" s="6"/>
      <c r="X938" s="6"/>
      <c r="Y938" s="6"/>
      <c r="Z938" s="6"/>
      <c r="AA938" s="6"/>
      <c r="AB938" s="6"/>
      <c r="AC938" s="6"/>
    </row>
    <row r="939" spans="1:29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225"/>
      <c r="O939" s="6"/>
      <c r="P939" s="6"/>
      <c r="Q939" s="6"/>
      <c r="R939" s="6"/>
      <c r="S939" s="6"/>
      <c r="T939" s="6"/>
      <c r="U939" s="6"/>
      <c r="V939" s="55"/>
      <c r="W939" s="6"/>
      <c r="X939" s="6"/>
      <c r="Y939" s="6"/>
      <c r="Z939" s="6"/>
      <c r="AA939" s="6"/>
      <c r="AB939" s="6"/>
      <c r="AC939" s="6"/>
    </row>
    <row r="940" spans="1:29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225"/>
      <c r="O940" s="6"/>
      <c r="P940" s="6"/>
      <c r="Q940" s="6"/>
      <c r="R940" s="6"/>
      <c r="S940" s="6"/>
      <c r="T940" s="6"/>
      <c r="U940" s="6"/>
      <c r="V940" s="55"/>
      <c r="W940" s="6"/>
      <c r="X940" s="6"/>
      <c r="Y940" s="6"/>
      <c r="Z940" s="6"/>
      <c r="AA940" s="6"/>
      <c r="AB940" s="6"/>
      <c r="AC940" s="6"/>
    </row>
    <row r="941" spans="1:29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225"/>
      <c r="O941" s="6"/>
      <c r="P941" s="6"/>
      <c r="Q941" s="6"/>
      <c r="R941" s="6"/>
      <c r="S941" s="6"/>
      <c r="T941" s="6"/>
      <c r="U941" s="6"/>
      <c r="V941" s="55"/>
      <c r="W941" s="6"/>
      <c r="X941" s="6"/>
      <c r="Y941" s="6"/>
      <c r="Z941" s="6"/>
      <c r="AA941" s="6"/>
      <c r="AB941" s="6"/>
      <c r="AC941" s="6"/>
    </row>
    <row r="942" spans="1:29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225"/>
      <c r="O942" s="6"/>
      <c r="P942" s="6"/>
      <c r="Q942" s="6"/>
      <c r="R942" s="6"/>
      <c r="S942" s="6"/>
      <c r="T942" s="6"/>
      <c r="U942" s="6"/>
      <c r="V942" s="55"/>
      <c r="W942" s="6"/>
      <c r="X942" s="6"/>
      <c r="Y942" s="6"/>
      <c r="Z942" s="6"/>
      <c r="AA942" s="6"/>
      <c r="AB942" s="6"/>
      <c r="AC942" s="6"/>
    </row>
    <row r="943" spans="1:29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225"/>
      <c r="O943" s="6"/>
      <c r="P943" s="6"/>
      <c r="Q943" s="6"/>
      <c r="R943" s="6"/>
      <c r="S943" s="6"/>
      <c r="T943" s="6"/>
      <c r="U943" s="6"/>
      <c r="V943" s="55"/>
      <c r="W943" s="6"/>
      <c r="X943" s="6"/>
      <c r="Y943" s="6"/>
      <c r="Z943" s="6"/>
      <c r="AA943" s="6"/>
      <c r="AB943" s="6"/>
      <c r="AC943" s="6"/>
    </row>
    <row r="944" spans="1:29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225"/>
      <c r="O944" s="6"/>
      <c r="P944" s="6"/>
      <c r="Q944" s="6"/>
      <c r="R944" s="6"/>
      <c r="S944" s="6"/>
      <c r="T944" s="6"/>
      <c r="U944" s="6"/>
      <c r="V944" s="55"/>
      <c r="W944" s="6"/>
      <c r="X944" s="6"/>
      <c r="Y944" s="6"/>
      <c r="Z944" s="6"/>
      <c r="AA944" s="6"/>
      <c r="AB944" s="6"/>
      <c r="AC944" s="6"/>
    </row>
    <row r="945" spans="1:29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225"/>
      <c r="O945" s="6"/>
      <c r="P945" s="6"/>
      <c r="Q945" s="6"/>
      <c r="R945" s="6"/>
      <c r="S945" s="6"/>
      <c r="T945" s="6"/>
      <c r="U945" s="6"/>
      <c r="V945" s="55"/>
      <c r="W945" s="6"/>
      <c r="X945" s="6"/>
      <c r="Y945" s="6"/>
      <c r="Z945" s="6"/>
      <c r="AA945" s="6"/>
      <c r="AB945" s="6"/>
      <c r="AC945" s="6"/>
    </row>
    <row r="946" spans="1:29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225"/>
      <c r="O946" s="6"/>
      <c r="P946" s="6"/>
      <c r="Q946" s="6"/>
      <c r="R946" s="6"/>
      <c r="S946" s="6"/>
      <c r="T946" s="6"/>
      <c r="U946" s="6"/>
      <c r="V946" s="55"/>
      <c r="W946" s="6"/>
      <c r="X946" s="6"/>
      <c r="Y946" s="6"/>
      <c r="Z946" s="6"/>
      <c r="AA946" s="6"/>
      <c r="AB946" s="6"/>
      <c r="AC946" s="6"/>
    </row>
    <row r="947" spans="1:29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225"/>
      <c r="O947" s="6"/>
      <c r="P947" s="6"/>
      <c r="Q947" s="6"/>
      <c r="R947" s="6"/>
      <c r="S947" s="6"/>
      <c r="T947" s="6"/>
      <c r="U947" s="6"/>
      <c r="V947" s="55"/>
      <c r="W947" s="6"/>
      <c r="X947" s="6"/>
      <c r="Y947" s="6"/>
      <c r="Z947" s="6"/>
      <c r="AA947" s="6"/>
      <c r="AB947" s="6"/>
      <c r="AC947" s="6"/>
    </row>
    <row r="948" spans="1:29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225"/>
      <c r="O948" s="6"/>
      <c r="P948" s="6"/>
      <c r="Q948" s="6"/>
      <c r="R948" s="6"/>
      <c r="S948" s="6"/>
      <c r="T948" s="6"/>
      <c r="U948" s="6"/>
      <c r="V948" s="55"/>
      <c r="W948" s="6"/>
      <c r="X948" s="6"/>
      <c r="Y948" s="6"/>
      <c r="Z948" s="6"/>
      <c r="AA948" s="6"/>
      <c r="AB948" s="6"/>
      <c r="AC948" s="6"/>
    </row>
    <row r="949" spans="1:29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225"/>
      <c r="O949" s="6"/>
      <c r="P949" s="6"/>
      <c r="Q949" s="6"/>
      <c r="R949" s="6"/>
      <c r="S949" s="6"/>
      <c r="T949" s="6"/>
      <c r="U949" s="6"/>
      <c r="V949" s="55"/>
      <c r="W949" s="6"/>
      <c r="X949" s="6"/>
      <c r="Y949" s="6"/>
      <c r="Z949" s="6"/>
      <c r="AA949" s="6"/>
      <c r="AB949" s="6"/>
      <c r="AC949" s="6"/>
    </row>
    <row r="950" spans="1:29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225"/>
      <c r="O950" s="6"/>
      <c r="P950" s="6"/>
      <c r="Q950" s="6"/>
      <c r="R950" s="6"/>
      <c r="S950" s="6"/>
      <c r="T950" s="6"/>
      <c r="U950" s="6"/>
      <c r="V950" s="55"/>
      <c r="W950" s="6"/>
      <c r="X950" s="6"/>
      <c r="Y950" s="6"/>
      <c r="Z950" s="6"/>
      <c r="AA950" s="6"/>
      <c r="AB950" s="6"/>
      <c r="AC950" s="6"/>
    </row>
    <row r="951" spans="1:29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225"/>
      <c r="O951" s="6"/>
      <c r="P951" s="6"/>
      <c r="Q951" s="6"/>
      <c r="R951" s="6"/>
      <c r="S951" s="6"/>
      <c r="T951" s="6"/>
      <c r="U951" s="6"/>
      <c r="V951" s="55"/>
      <c r="W951" s="6"/>
      <c r="X951" s="6"/>
      <c r="Y951" s="6"/>
      <c r="Z951" s="6"/>
      <c r="AA951" s="6"/>
      <c r="AB951" s="6"/>
      <c r="AC951" s="6"/>
    </row>
    <row r="952" spans="1:29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225"/>
      <c r="O952" s="6"/>
      <c r="P952" s="6"/>
      <c r="Q952" s="6"/>
      <c r="R952" s="6"/>
      <c r="S952" s="6"/>
      <c r="T952" s="6"/>
      <c r="U952" s="6"/>
      <c r="V952" s="55"/>
      <c r="W952" s="6"/>
      <c r="X952" s="6"/>
      <c r="Y952" s="6"/>
      <c r="Z952" s="6"/>
      <c r="AA952" s="6"/>
      <c r="AB952" s="6"/>
      <c r="AC952" s="6"/>
    </row>
    <row r="953" spans="1:29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225"/>
      <c r="O953" s="6"/>
      <c r="P953" s="6"/>
      <c r="Q953" s="6"/>
      <c r="R953" s="6"/>
      <c r="S953" s="6"/>
      <c r="T953" s="6"/>
      <c r="U953" s="6"/>
      <c r="V953" s="55"/>
      <c r="W953" s="6"/>
      <c r="X953" s="6"/>
      <c r="Y953" s="6"/>
      <c r="Z953" s="6"/>
      <c r="AA953" s="6"/>
      <c r="AB953" s="6"/>
      <c r="AC953" s="6"/>
    </row>
    <row r="954" spans="1:29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225"/>
      <c r="O954" s="6"/>
      <c r="P954" s="6"/>
      <c r="Q954" s="6"/>
      <c r="R954" s="6"/>
      <c r="S954" s="6"/>
      <c r="T954" s="6"/>
      <c r="U954" s="6"/>
      <c r="V954" s="55"/>
      <c r="W954" s="6"/>
      <c r="X954" s="6"/>
      <c r="Y954" s="6"/>
      <c r="Z954" s="6"/>
      <c r="AA954" s="6"/>
      <c r="AB954" s="6"/>
      <c r="AC954" s="6"/>
    </row>
    <row r="955" spans="1:29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225"/>
      <c r="O955" s="6"/>
      <c r="P955" s="6"/>
      <c r="Q955" s="6"/>
      <c r="R955" s="6"/>
      <c r="S955" s="6"/>
      <c r="T955" s="6"/>
      <c r="U955" s="6"/>
      <c r="V955" s="55"/>
      <c r="W955" s="6"/>
      <c r="X955" s="6"/>
      <c r="Y955" s="6"/>
      <c r="Z955" s="6"/>
      <c r="AA955" s="6"/>
      <c r="AB955" s="6"/>
      <c r="AC955" s="6"/>
    </row>
    <row r="956" spans="1:29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225"/>
      <c r="O956" s="6"/>
      <c r="P956" s="6"/>
      <c r="Q956" s="6"/>
      <c r="R956" s="6"/>
      <c r="S956" s="6"/>
      <c r="T956" s="6"/>
      <c r="U956" s="6"/>
      <c r="V956" s="55"/>
      <c r="W956" s="6"/>
      <c r="X956" s="6"/>
      <c r="Y956" s="6"/>
      <c r="Z956" s="6"/>
      <c r="AA956" s="6"/>
      <c r="AB956" s="6"/>
      <c r="AC956" s="6"/>
    </row>
    <row r="957" spans="1:29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225"/>
      <c r="O957" s="6"/>
      <c r="P957" s="6"/>
      <c r="Q957" s="6"/>
      <c r="R957" s="6"/>
      <c r="S957" s="6"/>
      <c r="T957" s="6"/>
      <c r="U957" s="6"/>
      <c r="V957" s="55"/>
      <c r="W957" s="6"/>
      <c r="X957" s="6"/>
      <c r="Y957" s="6"/>
      <c r="Z957" s="6"/>
      <c r="AA957" s="6"/>
      <c r="AB957" s="6"/>
      <c r="AC957" s="6"/>
    </row>
    <row r="958" spans="1:29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225"/>
      <c r="O958" s="6"/>
      <c r="P958" s="6"/>
      <c r="Q958" s="6"/>
      <c r="R958" s="6"/>
      <c r="S958" s="6"/>
      <c r="T958" s="6"/>
      <c r="U958" s="6"/>
      <c r="V958" s="55"/>
      <c r="W958" s="6"/>
      <c r="X958" s="6"/>
      <c r="Y958" s="6"/>
      <c r="Z958" s="6"/>
      <c r="AA958" s="6"/>
      <c r="AB958" s="6"/>
      <c r="AC958" s="6"/>
    </row>
    <row r="959" spans="1:29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225"/>
      <c r="O959" s="6"/>
      <c r="P959" s="6"/>
      <c r="Q959" s="6"/>
      <c r="R959" s="6"/>
      <c r="S959" s="6"/>
      <c r="T959" s="6"/>
      <c r="U959" s="6"/>
      <c r="V959" s="55"/>
      <c r="W959" s="6"/>
      <c r="X959" s="6"/>
      <c r="Y959" s="6"/>
      <c r="Z959" s="6"/>
      <c r="AA959" s="6"/>
      <c r="AB959" s="6"/>
      <c r="AC959" s="6"/>
    </row>
    <row r="960" spans="1:29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225"/>
      <c r="O960" s="6"/>
      <c r="P960" s="6"/>
      <c r="Q960" s="6"/>
      <c r="R960" s="6"/>
      <c r="S960" s="6"/>
      <c r="T960" s="6"/>
      <c r="U960" s="6"/>
      <c r="V960" s="55"/>
      <c r="W960" s="6"/>
      <c r="X960" s="6"/>
      <c r="Y960" s="6"/>
      <c r="Z960" s="6"/>
      <c r="AA960" s="6"/>
      <c r="AB960" s="6"/>
      <c r="AC960" s="6"/>
    </row>
    <row r="961" spans="1:29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225"/>
      <c r="O961" s="6"/>
      <c r="P961" s="6"/>
      <c r="Q961" s="6"/>
      <c r="R961" s="6"/>
      <c r="S961" s="6"/>
      <c r="T961" s="6"/>
      <c r="U961" s="6"/>
      <c r="V961" s="55"/>
      <c r="W961" s="6"/>
      <c r="X961" s="6"/>
      <c r="Y961" s="6"/>
      <c r="Z961" s="6"/>
      <c r="AA961" s="6"/>
      <c r="AB961" s="6"/>
      <c r="AC961" s="6"/>
    </row>
    <row r="962" spans="1:29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225"/>
      <c r="O962" s="6"/>
      <c r="P962" s="6"/>
      <c r="Q962" s="6"/>
      <c r="R962" s="6"/>
      <c r="S962" s="6"/>
      <c r="T962" s="6"/>
      <c r="U962" s="6"/>
      <c r="V962" s="55"/>
      <c r="W962" s="6"/>
      <c r="X962" s="6"/>
      <c r="Y962" s="6"/>
      <c r="Z962" s="6"/>
      <c r="AA962" s="6"/>
      <c r="AB962" s="6"/>
      <c r="AC962" s="6"/>
    </row>
    <row r="963" spans="1:29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225"/>
      <c r="O963" s="6"/>
      <c r="P963" s="6"/>
      <c r="Q963" s="6"/>
      <c r="R963" s="6"/>
      <c r="S963" s="6"/>
      <c r="T963" s="6"/>
      <c r="U963" s="6"/>
      <c r="V963" s="55"/>
      <c r="W963" s="6"/>
      <c r="X963" s="6"/>
      <c r="Y963" s="6"/>
      <c r="Z963" s="6"/>
      <c r="AA963" s="6"/>
      <c r="AB963" s="6"/>
      <c r="AC963" s="6"/>
    </row>
    <row r="964" spans="1:29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225"/>
      <c r="O964" s="6"/>
      <c r="P964" s="6"/>
      <c r="Q964" s="6"/>
      <c r="R964" s="6"/>
      <c r="S964" s="6"/>
      <c r="T964" s="6"/>
      <c r="U964" s="6"/>
      <c r="V964" s="55"/>
      <c r="W964" s="6"/>
      <c r="X964" s="6"/>
      <c r="Y964" s="6"/>
      <c r="Z964" s="6"/>
      <c r="AA964" s="6"/>
      <c r="AB964" s="6"/>
      <c r="AC964" s="6"/>
    </row>
    <row r="965" spans="1:29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225"/>
      <c r="O965" s="6"/>
      <c r="P965" s="6"/>
      <c r="Q965" s="6"/>
      <c r="R965" s="6"/>
      <c r="S965" s="6"/>
      <c r="T965" s="6"/>
      <c r="U965" s="6"/>
      <c r="V965" s="55"/>
      <c r="W965" s="6"/>
      <c r="X965" s="6"/>
      <c r="Y965" s="6"/>
      <c r="Z965" s="6"/>
      <c r="AA965" s="6"/>
      <c r="AB965" s="6"/>
      <c r="AC965" s="6"/>
    </row>
    <row r="966" spans="1:29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225"/>
      <c r="O966" s="6"/>
      <c r="P966" s="6"/>
      <c r="Q966" s="6"/>
      <c r="R966" s="6"/>
      <c r="S966" s="6"/>
      <c r="T966" s="6"/>
      <c r="U966" s="6"/>
      <c r="V966" s="55"/>
      <c r="W966" s="6"/>
      <c r="X966" s="6"/>
      <c r="Y966" s="6"/>
      <c r="Z966" s="6"/>
      <c r="AA966" s="6"/>
      <c r="AB966" s="6"/>
      <c r="AC966" s="6"/>
    </row>
    <row r="967" spans="1:29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225"/>
      <c r="O967" s="6"/>
      <c r="P967" s="6"/>
      <c r="Q967" s="6"/>
      <c r="R967" s="6"/>
      <c r="S967" s="6"/>
      <c r="T967" s="6"/>
      <c r="U967" s="6"/>
      <c r="V967" s="55"/>
      <c r="W967" s="6"/>
      <c r="X967" s="6"/>
      <c r="Y967" s="6"/>
      <c r="Z967" s="6"/>
      <c r="AA967" s="6"/>
      <c r="AB967" s="6"/>
      <c r="AC967" s="6"/>
    </row>
    <row r="968" spans="1:29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225"/>
      <c r="O968" s="6"/>
      <c r="P968" s="6"/>
      <c r="Q968" s="6"/>
      <c r="R968" s="6"/>
      <c r="S968" s="6"/>
      <c r="T968" s="6"/>
      <c r="U968" s="6"/>
      <c r="V968" s="55"/>
      <c r="W968" s="6"/>
      <c r="X968" s="6"/>
      <c r="Y968" s="6"/>
      <c r="Z968" s="6"/>
      <c r="AA968" s="6"/>
      <c r="AB968" s="6"/>
      <c r="AC968" s="6"/>
    </row>
    <row r="969" spans="1:29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225"/>
      <c r="O969" s="6"/>
      <c r="P969" s="6"/>
      <c r="Q969" s="6"/>
      <c r="R969" s="6"/>
      <c r="S969" s="6"/>
      <c r="T969" s="6"/>
      <c r="U969" s="6"/>
      <c r="V969" s="55"/>
      <c r="W969" s="6"/>
      <c r="X969" s="6"/>
      <c r="Y969" s="6"/>
      <c r="Z969" s="6"/>
      <c r="AA969" s="6"/>
      <c r="AB969" s="6"/>
      <c r="AC969" s="6"/>
    </row>
    <row r="970" spans="1:29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225"/>
      <c r="O970" s="6"/>
      <c r="P970" s="6"/>
      <c r="Q970" s="6"/>
      <c r="R970" s="6"/>
      <c r="S970" s="6"/>
      <c r="T970" s="6"/>
      <c r="U970" s="6"/>
      <c r="V970" s="55"/>
      <c r="W970" s="6"/>
      <c r="X970" s="6"/>
      <c r="Y970" s="6"/>
      <c r="Z970" s="6"/>
      <c r="AA970" s="6"/>
      <c r="AB970" s="6"/>
      <c r="AC970" s="6"/>
    </row>
    <row r="971" spans="1:29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225"/>
      <c r="O971" s="6"/>
      <c r="P971" s="6"/>
      <c r="Q971" s="6"/>
      <c r="R971" s="6"/>
      <c r="S971" s="6"/>
      <c r="T971" s="6"/>
      <c r="U971" s="6"/>
      <c r="V971" s="55"/>
      <c r="W971" s="6"/>
      <c r="X971" s="6"/>
      <c r="Y971" s="6"/>
      <c r="Z971" s="6"/>
      <c r="AA971" s="6"/>
      <c r="AB971" s="6"/>
      <c r="AC971" s="6"/>
    </row>
    <row r="972" spans="1:29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225"/>
      <c r="O972" s="6"/>
      <c r="P972" s="6"/>
      <c r="Q972" s="6"/>
      <c r="R972" s="6"/>
      <c r="S972" s="6"/>
      <c r="T972" s="6"/>
      <c r="U972" s="6"/>
      <c r="V972" s="55"/>
      <c r="W972" s="6"/>
      <c r="X972" s="6"/>
      <c r="Y972" s="6"/>
      <c r="Z972" s="6"/>
      <c r="AA972" s="6"/>
      <c r="AB972" s="6"/>
      <c r="AC972" s="6"/>
    </row>
    <row r="973" spans="1:29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225"/>
      <c r="O973" s="6"/>
      <c r="P973" s="6"/>
      <c r="Q973" s="6"/>
      <c r="R973" s="6"/>
      <c r="S973" s="6"/>
      <c r="T973" s="6"/>
      <c r="U973" s="6"/>
      <c r="V973" s="55"/>
      <c r="W973" s="6"/>
      <c r="X973" s="6"/>
      <c r="Y973" s="6"/>
      <c r="Z973" s="6"/>
      <c r="AA973" s="6"/>
      <c r="AB973" s="6"/>
      <c r="AC973" s="6"/>
    </row>
    <row r="974" spans="1:29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225"/>
      <c r="O974" s="6"/>
      <c r="P974" s="6"/>
      <c r="Q974" s="6"/>
      <c r="R974" s="6"/>
      <c r="S974" s="6"/>
      <c r="T974" s="6"/>
      <c r="U974" s="6"/>
      <c r="V974" s="55"/>
      <c r="W974" s="6"/>
      <c r="X974" s="6"/>
      <c r="Y974" s="6"/>
      <c r="Z974" s="6"/>
      <c r="AA974" s="6"/>
      <c r="AB974" s="6"/>
      <c r="AC974" s="6"/>
    </row>
    <row r="975" spans="1:29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225"/>
      <c r="O975" s="6"/>
      <c r="P975" s="6"/>
      <c r="Q975" s="6"/>
      <c r="R975" s="6"/>
      <c r="S975" s="6"/>
      <c r="T975" s="6"/>
      <c r="U975" s="6"/>
      <c r="V975" s="55"/>
      <c r="W975" s="6"/>
      <c r="X975" s="6"/>
      <c r="Y975" s="6"/>
      <c r="Z975" s="6"/>
      <c r="AA975" s="6"/>
      <c r="AB975" s="6"/>
      <c r="AC975" s="6"/>
    </row>
    <row r="976" spans="1:29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225"/>
      <c r="O976" s="6"/>
      <c r="P976" s="6"/>
      <c r="Q976" s="6"/>
      <c r="R976" s="6"/>
      <c r="S976" s="6"/>
      <c r="T976" s="6"/>
      <c r="U976" s="6"/>
      <c r="V976" s="55"/>
      <c r="W976" s="6"/>
      <c r="X976" s="6"/>
      <c r="Y976" s="6"/>
      <c r="Z976" s="6"/>
      <c r="AA976" s="6"/>
      <c r="AB976" s="6"/>
      <c r="AC976" s="6"/>
    </row>
    <row r="977" spans="1:29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225"/>
      <c r="O977" s="6"/>
      <c r="P977" s="6"/>
      <c r="Q977" s="6"/>
      <c r="R977" s="6"/>
      <c r="S977" s="6"/>
      <c r="T977" s="6"/>
      <c r="U977" s="6"/>
      <c r="V977" s="55"/>
      <c r="W977" s="6"/>
      <c r="X977" s="6"/>
      <c r="Y977" s="6"/>
      <c r="Z977" s="6"/>
      <c r="AA977" s="6"/>
      <c r="AB977" s="6"/>
      <c r="AC977" s="6"/>
    </row>
    <row r="978" spans="1:29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225"/>
      <c r="O978" s="6"/>
      <c r="P978" s="6"/>
      <c r="Q978" s="6"/>
      <c r="R978" s="6"/>
      <c r="S978" s="6"/>
      <c r="T978" s="6"/>
      <c r="U978" s="6"/>
      <c r="V978" s="55"/>
      <c r="W978" s="6"/>
      <c r="X978" s="6"/>
      <c r="Y978" s="6"/>
      <c r="Z978" s="6"/>
      <c r="AA978" s="6"/>
      <c r="AB978" s="6"/>
      <c r="AC978" s="6"/>
    </row>
    <row r="979" spans="1:29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225"/>
      <c r="O979" s="6"/>
      <c r="P979" s="6"/>
      <c r="Q979" s="6"/>
      <c r="R979" s="6"/>
      <c r="S979" s="6"/>
      <c r="T979" s="6"/>
      <c r="U979" s="6"/>
      <c r="V979" s="55"/>
      <c r="W979" s="6"/>
      <c r="X979" s="6"/>
      <c r="Y979" s="6"/>
      <c r="Z979" s="6"/>
      <c r="AA979" s="6"/>
      <c r="AB979" s="6"/>
      <c r="AC979" s="6"/>
    </row>
    <row r="980" spans="1:29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225"/>
      <c r="O980" s="6"/>
      <c r="P980" s="6"/>
      <c r="Q980" s="6"/>
      <c r="R980" s="6"/>
      <c r="S980" s="6"/>
      <c r="T980" s="6"/>
      <c r="U980" s="6"/>
      <c r="V980" s="55"/>
      <c r="W980" s="6"/>
      <c r="X980" s="6"/>
      <c r="Y980" s="6"/>
      <c r="Z980" s="6"/>
      <c r="AA980" s="6"/>
      <c r="AB980" s="6"/>
      <c r="AC980" s="6"/>
    </row>
    <row r="981" spans="1:29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225"/>
      <c r="O981" s="6"/>
      <c r="P981" s="6"/>
      <c r="Q981" s="6"/>
      <c r="R981" s="6"/>
      <c r="S981" s="6"/>
      <c r="T981" s="6"/>
      <c r="U981" s="6"/>
      <c r="V981" s="55"/>
      <c r="W981" s="6"/>
      <c r="X981" s="6"/>
      <c r="Y981" s="6"/>
      <c r="Z981" s="6"/>
      <c r="AA981" s="6"/>
      <c r="AB981" s="6"/>
      <c r="AC981" s="6"/>
    </row>
    <row r="982" spans="1:29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225"/>
      <c r="O982" s="6"/>
      <c r="P982" s="6"/>
      <c r="Q982" s="6"/>
      <c r="R982" s="6"/>
      <c r="S982" s="6"/>
      <c r="T982" s="6"/>
      <c r="U982" s="6"/>
      <c r="V982" s="55"/>
      <c r="W982" s="6"/>
      <c r="X982" s="6"/>
      <c r="Y982" s="6"/>
      <c r="Z982" s="6"/>
      <c r="AA982" s="6"/>
      <c r="AB982" s="6"/>
      <c r="AC982" s="6"/>
    </row>
    <row r="983" spans="1:29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225"/>
      <c r="O983" s="6"/>
      <c r="P983" s="6"/>
      <c r="Q983" s="6"/>
      <c r="R983" s="6"/>
      <c r="S983" s="6"/>
      <c r="T983" s="6"/>
      <c r="U983" s="6"/>
      <c r="V983" s="55"/>
      <c r="W983" s="6"/>
      <c r="X983" s="6"/>
      <c r="Y983" s="6"/>
      <c r="Z983" s="6"/>
      <c r="AA983" s="6"/>
      <c r="AB983" s="6"/>
      <c r="AC983" s="6"/>
    </row>
    <row r="984" spans="1:29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225"/>
      <c r="O984" s="6"/>
      <c r="P984" s="6"/>
      <c r="Q984" s="6"/>
      <c r="R984" s="6"/>
      <c r="S984" s="6"/>
      <c r="T984" s="6"/>
      <c r="U984" s="6"/>
      <c r="V984" s="55"/>
      <c r="W984" s="6"/>
      <c r="X984" s="6"/>
      <c r="Y984" s="6"/>
      <c r="Z984" s="6"/>
      <c r="AA984" s="6"/>
      <c r="AB984" s="6"/>
      <c r="AC984" s="6"/>
    </row>
    <row r="985" spans="1:29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225"/>
      <c r="O985" s="6"/>
      <c r="P985" s="6"/>
      <c r="Q985" s="6"/>
      <c r="R985" s="6"/>
      <c r="S985" s="6"/>
      <c r="T985" s="6"/>
      <c r="U985" s="6"/>
      <c r="V985" s="55"/>
      <c r="W985" s="6"/>
      <c r="X985" s="6"/>
      <c r="Y985" s="6"/>
      <c r="Z985" s="6"/>
      <c r="AA985" s="6"/>
      <c r="AB985" s="6"/>
      <c r="AC985" s="6"/>
    </row>
    <row r="986" spans="1:29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225"/>
      <c r="O986" s="6"/>
      <c r="P986" s="6"/>
      <c r="Q986" s="6"/>
      <c r="R986" s="6"/>
      <c r="S986" s="6"/>
      <c r="T986" s="6"/>
      <c r="U986" s="6"/>
      <c r="V986" s="55"/>
      <c r="W986" s="6"/>
      <c r="X986" s="6"/>
      <c r="Y986" s="6"/>
      <c r="Z986" s="6"/>
      <c r="AA986" s="6"/>
      <c r="AB986" s="6"/>
      <c r="AC986" s="6"/>
    </row>
    <row r="987" spans="1:29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225"/>
      <c r="O987" s="6"/>
      <c r="P987" s="6"/>
      <c r="Q987" s="6"/>
      <c r="R987" s="6"/>
      <c r="S987" s="6"/>
      <c r="T987" s="6"/>
      <c r="U987" s="6"/>
      <c r="V987" s="55"/>
      <c r="W987" s="6"/>
      <c r="X987" s="6"/>
      <c r="Y987" s="6"/>
      <c r="Z987" s="6"/>
      <c r="AA987" s="6"/>
      <c r="AB987" s="6"/>
      <c r="AC987" s="6"/>
    </row>
    <row r="988" spans="1:29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225"/>
      <c r="O988" s="6"/>
      <c r="P988" s="6"/>
      <c r="Q988" s="6"/>
      <c r="R988" s="6"/>
      <c r="S988" s="6"/>
      <c r="T988" s="6"/>
      <c r="U988" s="6"/>
      <c r="V988" s="55"/>
      <c r="W988" s="6"/>
      <c r="X988" s="6"/>
      <c r="Y988" s="6"/>
      <c r="Z988" s="6"/>
      <c r="AA988" s="6"/>
      <c r="AB988" s="6"/>
      <c r="AC988" s="6"/>
    </row>
    <row r="989" spans="1:29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225"/>
      <c r="O989" s="6"/>
      <c r="P989" s="6"/>
      <c r="Q989" s="6"/>
      <c r="R989" s="6"/>
      <c r="S989" s="6"/>
      <c r="T989" s="6"/>
      <c r="U989" s="6"/>
      <c r="V989" s="55"/>
      <c r="W989" s="6"/>
      <c r="X989" s="6"/>
      <c r="Y989" s="6"/>
      <c r="Z989" s="6"/>
      <c r="AA989" s="6"/>
      <c r="AB989" s="6"/>
      <c r="AC989" s="6"/>
    </row>
    <row r="990" spans="1:29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225"/>
      <c r="O990" s="6"/>
      <c r="P990" s="6"/>
      <c r="Q990" s="6"/>
      <c r="R990" s="6"/>
      <c r="S990" s="6"/>
      <c r="T990" s="6"/>
      <c r="U990" s="6"/>
      <c r="V990" s="55"/>
      <c r="W990" s="6"/>
      <c r="X990" s="6"/>
      <c r="Y990" s="6"/>
      <c r="Z990" s="6"/>
      <c r="AA990" s="6"/>
      <c r="AB990" s="6"/>
      <c r="AC990" s="6"/>
    </row>
    <row r="991" spans="1:29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225"/>
      <c r="O991" s="6"/>
      <c r="P991" s="6"/>
      <c r="Q991" s="6"/>
      <c r="R991" s="6"/>
      <c r="S991" s="6"/>
      <c r="T991" s="6"/>
      <c r="U991" s="6"/>
      <c r="V991" s="55"/>
      <c r="W991" s="6"/>
      <c r="X991" s="6"/>
      <c r="Y991" s="6"/>
      <c r="Z991" s="6"/>
      <c r="AA991" s="6"/>
      <c r="AB991" s="6"/>
      <c r="AC991" s="6"/>
    </row>
    <row r="992" spans="1:29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225"/>
      <c r="O992" s="6"/>
      <c r="P992" s="6"/>
      <c r="Q992" s="6"/>
      <c r="R992" s="6"/>
      <c r="S992" s="6"/>
      <c r="T992" s="6"/>
      <c r="U992" s="6"/>
      <c r="V992" s="55"/>
      <c r="W992" s="6"/>
      <c r="X992" s="6"/>
      <c r="Y992" s="6"/>
      <c r="Z992" s="6"/>
      <c r="AA992" s="6"/>
      <c r="AB992" s="6"/>
      <c r="AC992" s="6"/>
    </row>
    <row r="993" spans="1:29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225"/>
      <c r="O993" s="6"/>
      <c r="P993" s="6"/>
      <c r="Q993" s="6"/>
      <c r="R993" s="6"/>
      <c r="S993" s="6"/>
      <c r="T993" s="6"/>
      <c r="U993" s="6"/>
      <c r="V993" s="55"/>
      <c r="W993" s="6"/>
      <c r="X993" s="6"/>
      <c r="Y993" s="6"/>
      <c r="Z993" s="6"/>
      <c r="AA993" s="6"/>
      <c r="AB993" s="6"/>
      <c r="AC993" s="6"/>
    </row>
    <row r="994" spans="1:29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225"/>
      <c r="O994" s="6"/>
      <c r="P994" s="6"/>
      <c r="Q994" s="6"/>
      <c r="R994" s="6"/>
      <c r="S994" s="6"/>
      <c r="T994" s="6"/>
      <c r="U994" s="6"/>
      <c r="V994" s="55"/>
      <c r="W994" s="6"/>
      <c r="X994" s="6"/>
      <c r="Y994" s="6"/>
      <c r="Z994" s="6"/>
      <c r="AA994" s="6"/>
      <c r="AB994" s="6"/>
      <c r="AC994" s="6"/>
    </row>
    <row r="995" spans="1:29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225"/>
      <c r="O995" s="6"/>
      <c r="P995" s="6"/>
      <c r="Q995" s="6"/>
      <c r="R995" s="6"/>
      <c r="S995" s="6"/>
      <c r="T995" s="6"/>
      <c r="U995" s="6"/>
      <c r="V995" s="55"/>
      <c r="W995" s="6"/>
      <c r="X995" s="6"/>
      <c r="Y995" s="6"/>
      <c r="Z995" s="6"/>
      <c r="AA995" s="6"/>
      <c r="AB995" s="6"/>
      <c r="AC995" s="6"/>
    </row>
    <row r="996" spans="1:29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225"/>
      <c r="O996" s="6"/>
      <c r="P996" s="6"/>
      <c r="Q996" s="6"/>
      <c r="R996" s="6"/>
      <c r="S996" s="6"/>
      <c r="T996" s="6"/>
      <c r="U996" s="6"/>
      <c r="V996" s="55"/>
      <c r="W996" s="6"/>
      <c r="X996" s="6"/>
      <c r="Y996" s="6"/>
      <c r="Z996" s="6"/>
      <c r="AA996" s="6"/>
      <c r="AB996" s="6"/>
      <c r="AC996" s="6"/>
    </row>
    <row r="997" spans="1:29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225"/>
      <c r="O997" s="6"/>
      <c r="P997" s="6"/>
      <c r="Q997" s="6"/>
      <c r="R997" s="6"/>
      <c r="S997" s="6"/>
      <c r="T997" s="6"/>
      <c r="U997" s="6"/>
      <c r="V997" s="55"/>
      <c r="W997" s="6"/>
      <c r="X997" s="6"/>
      <c r="Y997" s="6"/>
      <c r="Z997" s="6"/>
      <c r="AA997" s="6"/>
      <c r="AB997" s="6"/>
      <c r="AC997" s="6"/>
    </row>
    <row r="998" spans="1:29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225"/>
      <c r="O998" s="6"/>
      <c r="P998" s="6"/>
      <c r="Q998" s="6"/>
      <c r="R998" s="6"/>
      <c r="S998" s="6"/>
      <c r="T998" s="6"/>
      <c r="U998" s="6"/>
      <c r="V998" s="55"/>
      <c r="W998" s="6"/>
      <c r="X998" s="6"/>
      <c r="Y998" s="6"/>
      <c r="Z998" s="6"/>
      <c r="AA998" s="6"/>
      <c r="AB998" s="6"/>
      <c r="AC998" s="6"/>
    </row>
    <row r="999" spans="1:29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225"/>
      <c r="O999" s="6"/>
      <c r="P999" s="6"/>
      <c r="Q999" s="6"/>
      <c r="R999" s="6"/>
      <c r="S999" s="6"/>
      <c r="T999" s="6"/>
      <c r="U999" s="6"/>
      <c r="V999" s="55"/>
      <c r="W999" s="6"/>
      <c r="X999" s="6"/>
      <c r="Y999" s="6"/>
      <c r="Z999" s="6"/>
      <c r="AA999" s="6"/>
      <c r="AB999" s="6"/>
      <c r="AC999" s="6"/>
    </row>
    <row r="1000" spans="1:29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225"/>
      <c r="O1000" s="6"/>
      <c r="P1000" s="6"/>
      <c r="Q1000" s="6"/>
      <c r="R1000" s="6"/>
      <c r="S1000" s="6"/>
      <c r="T1000" s="6"/>
      <c r="U1000" s="6"/>
      <c r="V1000" s="55"/>
      <c r="W1000" s="6"/>
      <c r="X1000" s="6"/>
      <c r="Y1000" s="6"/>
      <c r="Z1000" s="6"/>
      <c r="AA1000" s="6"/>
      <c r="AB1000" s="6"/>
      <c r="AC1000" s="6"/>
    </row>
  </sheetData>
  <mergeCells count="1">
    <mergeCell ref="A1:AD1"/>
  </mergeCells>
  <pageMargins left="0.7" right="0.7" top="0.75" bottom="0.75" header="0" footer="0"/>
  <pageSetup paperSize="9" orientation="landscape" r:id="rId1"/>
  <ignoredErrors>
    <ignoredError sqref="V78:AB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/>
  <cols>
    <col min="1" max="1" width="101.453125" customWidth="1"/>
    <col min="2" max="2" width="8.453125" hidden="1" customWidth="1"/>
    <col min="3" max="3" width="10.1796875" hidden="1" customWidth="1"/>
    <col min="4" max="4" width="11.1796875" hidden="1" customWidth="1"/>
    <col min="5" max="8" width="12.453125" customWidth="1"/>
    <col min="9" max="9" width="11" customWidth="1"/>
    <col min="10" max="10" width="4.1796875" customWidth="1"/>
    <col min="11" max="11" width="45.1796875" customWidth="1"/>
    <col min="12" max="12" width="13.81640625" hidden="1" customWidth="1"/>
    <col min="13" max="13" width="10.453125" hidden="1" customWidth="1"/>
    <col min="14" max="14" width="13.81640625" hidden="1" customWidth="1"/>
    <col min="15" max="18" width="11.54296875" customWidth="1"/>
    <col min="19" max="19" width="9.54296875" customWidth="1"/>
    <col min="20" max="26" width="9.1796875" customWidth="1"/>
  </cols>
  <sheetData>
    <row r="1" spans="1:26" ht="12" customHeight="1">
      <c r="A1" s="263" t="s">
        <v>147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6"/>
      <c r="S1" s="6"/>
      <c r="T1" s="6"/>
      <c r="U1" s="6"/>
      <c r="V1" s="6"/>
      <c r="W1" s="6"/>
      <c r="X1" s="6"/>
      <c r="Y1" s="6"/>
      <c r="Z1" s="6"/>
    </row>
    <row r="2" spans="1:26" ht="12" customHeight="1">
      <c r="A2" s="267" t="s">
        <v>1</v>
      </c>
      <c r="B2" s="268"/>
      <c r="C2" s="268"/>
      <c r="D2" s="268"/>
      <c r="E2" s="268"/>
      <c r="F2" s="268"/>
      <c r="G2" s="268"/>
      <c r="H2" s="269"/>
      <c r="I2" s="1"/>
      <c r="J2" s="2"/>
      <c r="K2" s="270" t="s">
        <v>2</v>
      </c>
      <c r="L2" s="271"/>
      <c r="M2" s="271"/>
      <c r="N2" s="271"/>
      <c r="O2" s="271"/>
      <c r="P2" s="271"/>
      <c r="Q2" s="271"/>
      <c r="R2" s="271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5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148</v>
      </c>
      <c r="J3" s="2"/>
      <c r="K3" s="57" t="s">
        <v>149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Q3" s="7" t="s">
        <v>9</v>
      </c>
      <c r="R3" s="9" t="s">
        <v>10</v>
      </c>
      <c r="S3" s="6"/>
      <c r="T3" s="6"/>
      <c r="U3" s="6"/>
      <c r="V3" s="6"/>
      <c r="W3" s="6"/>
      <c r="X3" s="6"/>
      <c r="Y3" s="6"/>
      <c r="Z3" s="6"/>
    </row>
    <row r="4" spans="1:26" ht="12" customHeight="1">
      <c r="A4" s="57" t="s">
        <v>15</v>
      </c>
      <c r="B4" s="63"/>
      <c r="C4" s="63"/>
      <c r="D4" s="63"/>
      <c r="E4" s="63">
        <v>8398.86</v>
      </c>
      <c r="F4" s="63">
        <v>3946.92</v>
      </c>
      <c r="G4" s="63">
        <v>3943.56</v>
      </c>
      <c r="H4" s="63">
        <v>3424.26</v>
      </c>
      <c r="I4" s="63">
        <f>393.39+6.06</f>
        <v>399.45</v>
      </c>
      <c r="J4" s="15"/>
      <c r="K4" s="29" t="s">
        <v>16</v>
      </c>
      <c r="L4" s="29"/>
      <c r="M4" s="29"/>
      <c r="N4" s="29"/>
      <c r="O4" s="29">
        <v>111.69</v>
      </c>
      <c r="P4" s="29">
        <v>111.69</v>
      </c>
      <c r="Q4" s="29">
        <v>111.69</v>
      </c>
      <c r="R4" s="29">
        <v>111.69</v>
      </c>
      <c r="S4" s="6"/>
      <c r="T4" s="6"/>
      <c r="U4" s="6"/>
      <c r="V4" s="6"/>
      <c r="W4" s="6"/>
      <c r="X4" s="6"/>
      <c r="Y4" s="6"/>
      <c r="Z4" s="6"/>
    </row>
    <row r="5" spans="1:26" ht="12" customHeight="1">
      <c r="A5" s="29" t="s">
        <v>17</v>
      </c>
      <c r="B5" s="63"/>
      <c r="C5" s="63"/>
      <c r="D5" s="63"/>
      <c r="E5" s="63">
        <v>74.38</v>
      </c>
      <c r="F5" s="63">
        <v>45.7</v>
      </c>
      <c r="G5" s="63">
        <v>109.67</v>
      </c>
      <c r="H5" s="63">
        <v>43.37</v>
      </c>
      <c r="I5" s="63">
        <v>13.31</v>
      </c>
      <c r="J5" s="6"/>
      <c r="K5" s="29" t="s">
        <v>18</v>
      </c>
      <c r="L5" s="29"/>
      <c r="M5" s="29"/>
      <c r="N5" s="29"/>
      <c r="O5" s="29">
        <v>2370.17</v>
      </c>
      <c r="P5" s="29">
        <v>2636.2</v>
      </c>
      <c r="Q5" s="29">
        <v>3194.8</v>
      </c>
      <c r="R5" s="29">
        <v>3465.32</v>
      </c>
      <c r="S5" s="6"/>
      <c r="T5" s="6"/>
      <c r="U5" s="6"/>
      <c r="V5" s="6"/>
      <c r="W5" s="6"/>
      <c r="X5" s="6"/>
      <c r="Y5" s="6"/>
      <c r="Z5" s="6"/>
    </row>
    <row r="6" spans="1:26" ht="12" customHeight="1">
      <c r="A6" s="50" t="s">
        <v>150</v>
      </c>
      <c r="B6" s="22">
        <f t="shared" ref="B6:I6" si="0">B4+B5</f>
        <v>0</v>
      </c>
      <c r="C6" s="22">
        <f t="shared" si="0"/>
        <v>0</v>
      </c>
      <c r="D6" s="22">
        <f t="shared" si="0"/>
        <v>0</v>
      </c>
      <c r="E6" s="22">
        <f t="shared" si="0"/>
        <v>8473.24</v>
      </c>
      <c r="F6" s="22">
        <f t="shared" si="0"/>
        <v>3992.62</v>
      </c>
      <c r="G6" s="22">
        <f t="shared" si="0"/>
        <v>4053.23</v>
      </c>
      <c r="H6" s="22">
        <f t="shared" si="0"/>
        <v>3467.63</v>
      </c>
      <c r="I6" s="22">
        <f t="shared" si="0"/>
        <v>412.76</v>
      </c>
      <c r="J6" s="24"/>
      <c r="K6" s="50" t="s">
        <v>20</v>
      </c>
      <c r="L6" s="22">
        <f t="shared" ref="L6:R6" si="1">(L4+L5)</f>
        <v>0</v>
      </c>
      <c r="M6" s="22">
        <f t="shared" si="1"/>
        <v>0</v>
      </c>
      <c r="N6" s="22">
        <f t="shared" si="1"/>
        <v>0</v>
      </c>
      <c r="O6" s="22">
        <f t="shared" si="1"/>
        <v>2481.86</v>
      </c>
      <c r="P6" s="22">
        <f t="shared" si="1"/>
        <v>2747.89</v>
      </c>
      <c r="Q6" s="22">
        <f t="shared" si="1"/>
        <v>3306.4900000000002</v>
      </c>
      <c r="R6" s="22">
        <f t="shared" si="1"/>
        <v>3577.01</v>
      </c>
      <c r="S6" s="44"/>
      <c r="T6" s="6"/>
      <c r="U6" s="6"/>
      <c r="V6" s="6"/>
      <c r="W6" s="6"/>
      <c r="X6" s="6"/>
      <c r="Y6" s="6"/>
      <c r="Z6" s="6"/>
    </row>
    <row r="7" spans="1:26" ht="12" customHeight="1">
      <c r="A7" s="133" t="s">
        <v>21</v>
      </c>
      <c r="B7" s="27"/>
      <c r="C7" s="27" t="e">
        <f t="shared" ref="C7:H7" si="2">(C6/B6-1)</f>
        <v>#DIV/0!</v>
      </c>
      <c r="D7" s="27" t="e">
        <f t="shared" si="2"/>
        <v>#DIV/0!</v>
      </c>
      <c r="E7" s="27" t="e">
        <f t="shared" si="2"/>
        <v>#DIV/0!</v>
      </c>
      <c r="F7" s="27">
        <f t="shared" si="2"/>
        <v>-0.52879654063852788</v>
      </c>
      <c r="G7" s="27">
        <f t="shared" si="2"/>
        <v>1.5180508037328844E-2</v>
      </c>
      <c r="H7" s="27">
        <f t="shared" si="2"/>
        <v>-0.14447736743288686</v>
      </c>
      <c r="I7" s="27"/>
      <c r="J7" s="6"/>
      <c r="K7" s="29" t="s">
        <v>151</v>
      </c>
      <c r="L7" s="13"/>
      <c r="M7" s="13"/>
      <c r="N7" s="13"/>
      <c r="O7" s="13"/>
      <c r="P7" s="14"/>
      <c r="Q7" s="13"/>
      <c r="R7" s="13"/>
      <c r="S7" s="6"/>
      <c r="T7" s="6"/>
      <c r="U7" s="6"/>
      <c r="V7" s="6"/>
      <c r="W7" s="6"/>
      <c r="X7" s="6"/>
      <c r="Y7" s="6"/>
      <c r="Z7" s="6"/>
    </row>
    <row r="8" spans="1:26" ht="12" customHeight="1">
      <c r="A8" s="133" t="s">
        <v>24</v>
      </c>
      <c r="B8" s="27"/>
      <c r="C8" s="27"/>
      <c r="D8" s="27"/>
      <c r="E8" s="27"/>
      <c r="F8" s="27" t="e">
        <f t="shared" ref="F8:H8" si="3">+((F6/C6)^(1/3)-1)</f>
        <v>#DIV/0!</v>
      </c>
      <c r="G8" s="27" t="e">
        <f t="shared" si="3"/>
        <v>#DIV/0!</v>
      </c>
      <c r="H8" s="27">
        <f t="shared" si="3"/>
        <v>-0.2575604800214899</v>
      </c>
      <c r="I8" s="27"/>
      <c r="J8" s="6"/>
      <c r="K8" s="29" t="s">
        <v>25</v>
      </c>
      <c r="L8" s="13"/>
      <c r="M8" s="13"/>
      <c r="N8" s="13"/>
      <c r="O8" s="13">
        <v>3125.95</v>
      </c>
      <c r="P8" s="13">
        <v>2392.42</v>
      </c>
      <c r="Q8" s="13">
        <v>701.58</v>
      </c>
      <c r="R8" s="13">
        <v>527.41999999999996</v>
      </c>
      <c r="S8" s="6"/>
      <c r="T8" s="6"/>
      <c r="U8" s="6"/>
      <c r="V8" s="6"/>
      <c r="W8" s="6"/>
      <c r="X8" s="6"/>
      <c r="Y8" s="6"/>
      <c r="Z8" s="6"/>
    </row>
    <row r="9" spans="1:26" ht="12" customHeight="1">
      <c r="A9" s="50" t="s">
        <v>26</v>
      </c>
      <c r="B9" s="22">
        <f t="shared" ref="B9:I9" si="4">SUM(B10:B15)</f>
        <v>0</v>
      </c>
      <c r="C9" s="22">
        <f t="shared" si="4"/>
        <v>0</v>
      </c>
      <c r="D9" s="22">
        <f t="shared" si="4"/>
        <v>0</v>
      </c>
      <c r="E9" s="22">
        <f t="shared" si="4"/>
        <v>7468.55</v>
      </c>
      <c r="F9" s="22">
        <f t="shared" si="4"/>
        <v>3141.44</v>
      </c>
      <c r="G9" s="22">
        <f t="shared" si="4"/>
        <v>2979.9</v>
      </c>
      <c r="H9" s="22">
        <f t="shared" si="4"/>
        <v>2772.41</v>
      </c>
      <c r="I9" s="22">
        <f t="shared" si="4"/>
        <v>365.29</v>
      </c>
      <c r="J9" s="6"/>
      <c r="K9" s="29" t="s">
        <v>27</v>
      </c>
      <c r="L9" s="13"/>
      <c r="M9" s="13"/>
      <c r="N9" s="13"/>
      <c r="O9" s="29">
        <v>1587.85</v>
      </c>
      <c r="P9" s="29">
        <v>1462.57</v>
      </c>
      <c r="Q9" s="29">
        <v>200.44</v>
      </c>
      <c r="R9" s="29">
        <v>15.62</v>
      </c>
      <c r="S9" s="6"/>
      <c r="T9" s="6"/>
      <c r="U9" s="6"/>
      <c r="V9" s="6"/>
      <c r="W9" s="6"/>
      <c r="X9" s="6"/>
      <c r="Y9" s="6"/>
      <c r="Z9" s="6"/>
    </row>
    <row r="10" spans="1:26" ht="12" customHeight="1">
      <c r="A10" s="29" t="s">
        <v>152</v>
      </c>
      <c r="B10" s="13"/>
      <c r="C10" s="63"/>
      <c r="D10" s="63"/>
      <c r="E10" s="63">
        <v>2428.5300000000002</v>
      </c>
      <c r="F10" s="63">
        <v>1695.56</v>
      </c>
      <c r="G10" s="63">
        <v>1864.81</v>
      </c>
      <c r="H10" s="63">
        <v>1755.42</v>
      </c>
      <c r="I10" s="63">
        <v>207.41</v>
      </c>
      <c r="J10" s="6"/>
      <c r="K10" s="50" t="s">
        <v>28</v>
      </c>
      <c r="L10" s="22">
        <f t="shared" ref="L10:R10" si="5">(L8+L9)</f>
        <v>0</v>
      </c>
      <c r="M10" s="22">
        <f t="shared" si="5"/>
        <v>0</v>
      </c>
      <c r="N10" s="22">
        <f t="shared" si="5"/>
        <v>0</v>
      </c>
      <c r="O10" s="22">
        <f t="shared" si="5"/>
        <v>4713.7999999999993</v>
      </c>
      <c r="P10" s="22">
        <f t="shared" si="5"/>
        <v>3854.99</v>
      </c>
      <c r="Q10" s="22">
        <f t="shared" si="5"/>
        <v>902.02</v>
      </c>
      <c r="R10" s="22">
        <f t="shared" si="5"/>
        <v>543.04</v>
      </c>
      <c r="S10" s="6"/>
      <c r="T10" s="6"/>
      <c r="U10" s="6"/>
      <c r="V10" s="6"/>
      <c r="W10" s="6"/>
      <c r="X10" s="6"/>
      <c r="Y10" s="6"/>
      <c r="Z10" s="6"/>
    </row>
    <row r="11" spans="1:26" ht="12" customHeight="1">
      <c r="A11" s="29" t="s">
        <v>153</v>
      </c>
      <c r="B11" s="13"/>
      <c r="C11" s="63"/>
      <c r="D11" s="63"/>
      <c r="E11" s="63">
        <v>0.68</v>
      </c>
      <c r="F11" s="63">
        <v>2.69</v>
      </c>
      <c r="G11" s="63">
        <v>11.72</v>
      </c>
      <c r="H11" s="63">
        <v>48.22</v>
      </c>
      <c r="I11" s="63">
        <v>2.99</v>
      </c>
      <c r="J11" s="6"/>
      <c r="K11" s="50" t="s">
        <v>30</v>
      </c>
      <c r="L11" s="22">
        <f t="shared" ref="L11:P11" si="6">(L6+L8+L7+L57+L53+L54)</f>
        <v>0</v>
      </c>
      <c r="M11" s="22">
        <f t="shared" si="6"/>
        <v>0</v>
      </c>
      <c r="N11" s="22">
        <f t="shared" si="6"/>
        <v>0</v>
      </c>
      <c r="O11" s="22">
        <f t="shared" si="6"/>
        <v>5688.5199999999995</v>
      </c>
      <c r="P11" s="22">
        <f t="shared" si="6"/>
        <v>5461.8799999999992</v>
      </c>
      <c r="Q11" s="22">
        <f t="shared" ref="Q11:R11" si="7">(Q6+Q8+Q7+Q57+Q53+Q54+Q55)</f>
        <v>4880.6100000000006</v>
      </c>
      <c r="R11" s="22">
        <f t="shared" si="7"/>
        <v>4807.3600000000006</v>
      </c>
      <c r="S11" s="55"/>
      <c r="T11" s="6"/>
      <c r="U11" s="6"/>
      <c r="V11" s="6"/>
      <c r="W11" s="6"/>
      <c r="X11" s="6"/>
      <c r="Y11" s="6"/>
      <c r="Z11" s="6"/>
    </row>
    <row r="12" spans="1:26" ht="12" customHeight="1">
      <c r="A12" s="29" t="s">
        <v>154</v>
      </c>
      <c r="B12" s="13"/>
      <c r="C12" s="63"/>
      <c r="D12" s="63"/>
      <c r="E12" s="63">
        <v>77.45</v>
      </c>
      <c r="F12" s="63">
        <v>-24.6</v>
      </c>
      <c r="G12" s="63">
        <v>-10.78</v>
      </c>
      <c r="H12" s="63">
        <v>-33.99</v>
      </c>
      <c r="I12" s="63">
        <v>-16.350000000000001</v>
      </c>
      <c r="J12" s="6"/>
      <c r="K12" s="50" t="s">
        <v>30</v>
      </c>
      <c r="L12" s="22">
        <f t="shared" ref="L12:R12" si="8">L59-L44-L9</f>
        <v>0</v>
      </c>
      <c r="M12" s="22">
        <f t="shared" si="8"/>
        <v>0</v>
      </c>
      <c r="N12" s="22">
        <f t="shared" si="8"/>
        <v>0</v>
      </c>
      <c r="O12" s="22">
        <f t="shared" si="8"/>
        <v>5889.1899999999987</v>
      </c>
      <c r="P12" s="22">
        <f t="shared" si="8"/>
        <v>6275.4600000000019</v>
      </c>
      <c r="Q12" s="22">
        <f t="shared" si="8"/>
        <v>4935.7600000000011</v>
      </c>
      <c r="R12" s="22">
        <f t="shared" si="8"/>
        <v>4868.13</v>
      </c>
      <c r="S12" s="6"/>
      <c r="T12" s="6"/>
      <c r="U12" s="6"/>
      <c r="V12" s="6"/>
      <c r="W12" s="6"/>
      <c r="X12" s="6"/>
      <c r="Y12" s="6"/>
      <c r="Z12" s="6"/>
    </row>
    <row r="13" spans="1:26" ht="12" customHeight="1">
      <c r="A13" s="29" t="s">
        <v>32</v>
      </c>
      <c r="B13" s="13"/>
      <c r="C13" s="63"/>
      <c r="D13" s="63"/>
      <c r="E13" s="63">
        <v>637.16999999999996</v>
      </c>
      <c r="F13" s="63">
        <v>412.39</v>
      </c>
      <c r="G13" s="63">
        <v>266.70999999999998</v>
      </c>
      <c r="H13" s="63">
        <v>256.33</v>
      </c>
      <c r="I13" s="63">
        <v>58.27</v>
      </c>
      <c r="J13" s="6"/>
      <c r="K13" s="29"/>
      <c r="L13" s="13"/>
      <c r="M13" s="13"/>
      <c r="N13" s="13"/>
      <c r="O13" s="13"/>
      <c r="P13" s="13"/>
      <c r="Q13" s="13"/>
      <c r="R13" s="13"/>
      <c r="S13" s="6"/>
      <c r="T13" s="6"/>
      <c r="U13" s="6"/>
      <c r="V13" s="6"/>
      <c r="W13" s="6"/>
      <c r="X13" s="6"/>
      <c r="Y13" s="6"/>
      <c r="Z13" s="6"/>
    </row>
    <row r="14" spans="1:26" ht="12" customHeight="1">
      <c r="A14" s="29" t="s">
        <v>36</v>
      </c>
      <c r="B14" s="13"/>
      <c r="C14" s="63"/>
      <c r="D14" s="63"/>
      <c r="E14" s="63">
        <v>3570.61</v>
      </c>
      <c r="F14" s="63">
        <v>1006.27</v>
      </c>
      <c r="G14" s="63">
        <v>847.44</v>
      </c>
      <c r="H14" s="63">
        <v>746.43</v>
      </c>
      <c r="I14" s="63">
        <f>6.85+57.14+4.05+44.93</f>
        <v>112.97</v>
      </c>
      <c r="J14" s="6"/>
      <c r="K14" s="6"/>
      <c r="L14" s="95"/>
      <c r="M14" s="95"/>
      <c r="N14" s="95"/>
      <c r="O14" s="95"/>
      <c r="P14" s="95"/>
      <c r="Q14" s="134"/>
      <c r="R14" s="134"/>
      <c r="S14" s="6"/>
      <c r="T14" s="6"/>
      <c r="U14" s="6"/>
      <c r="V14" s="6"/>
      <c r="W14" s="6"/>
      <c r="X14" s="6"/>
      <c r="Y14" s="6"/>
      <c r="Z14" s="6"/>
    </row>
    <row r="15" spans="1:26" ht="12" customHeight="1">
      <c r="A15" s="29" t="s">
        <v>38</v>
      </c>
      <c r="B15" s="13"/>
      <c r="C15" s="63"/>
      <c r="D15" s="63"/>
      <c r="E15" s="63">
        <v>754.11</v>
      </c>
      <c r="F15" s="63">
        <v>49.13</v>
      </c>
      <c r="G15" s="63"/>
      <c r="H15" s="63"/>
      <c r="I15" s="63"/>
      <c r="J15" s="6"/>
      <c r="K15" s="29" t="s">
        <v>37</v>
      </c>
      <c r="L15" s="13"/>
      <c r="M15" s="13"/>
      <c r="N15" s="13"/>
      <c r="O15" s="13">
        <v>6202.17</v>
      </c>
      <c r="P15" s="13">
        <v>6115.39</v>
      </c>
      <c r="Q15" s="13">
        <v>3496.13</v>
      </c>
      <c r="R15" s="13">
        <v>3381.63</v>
      </c>
      <c r="S15" s="6"/>
      <c r="T15" s="6"/>
      <c r="U15" s="6"/>
      <c r="V15" s="6"/>
      <c r="W15" s="6"/>
      <c r="X15" s="6"/>
      <c r="Y15" s="6"/>
      <c r="Z15" s="6"/>
    </row>
    <row r="16" spans="1:26" ht="12" customHeight="1">
      <c r="A16" s="50" t="s">
        <v>40</v>
      </c>
      <c r="B16" s="22">
        <f t="shared" ref="B16:D16" si="9">(B6-B9)</f>
        <v>0</v>
      </c>
      <c r="C16" s="22">
        <f t="shared" si="9"/>
        <v>0</v>
      </c>
      <c r="D16" s="22">
        <f t="shared" si="9"/>
        <v>0</v>
      </c>
      <c r="E16" s="22">
        <f t="shared" ref="E16:I16" si="10">(E4-E9)</f>
        <v>930.3100000000004</v>
      </c>
      <c r="F16" s="22">
        <f t="shared" si="10"/>
        <v>805.48</v>
      </c>
      <c r="G16" s="22">
        <f t="shared" si="10"/>
        <v>963.65999999999985</v>
      </c>
      <c r="H16" s="22">
        <f t="shared" si="10"/>
        <v>651.85000000000036</v>
      </c>
      <c r="I16" s="22">
        <f t="shared" si="10"/>
        <v>34.159999999999968</v>
      </c>
      <c r="J16" s="6"/>
      <c r="K16" s="29" t="s">
        <v>39</v>
      </c>
      <c r="L16" s="13"/>
      <c r="M16" s="13"/>
      <c r="N16" s="13"/>
      <c r="O16" s="13">
        <v>34.19</v>
      </c>
      <c r="P16" s="13">
        <v>34.270000000000003</v>
      </c>
      <c r="Q16" s="13">
        <v>43.72</v>
      </c>
      <c r="R16" s="13">
        <v>137.47</v>
      </c>
      <c r="S16" s="6"/>
      <c r="T16" s="6"/>
      <c r="U16" s="6"/>
      <c r="V16" s="6"/>
      <c r="W16" s="6"/>
      <c r="X16" s="6"/>
      <c r="Y16" s="6"/>
      <c r="Z16" s="6"/>
    </row>
    <row r="17" spans="1:26" ht="12" customHeight="1">
      <c r="A17" s="133" t="s">
        <v>21</v>
      </c>
      <c r="B17" s="27"/>
      <c r="C17" s="27" t="e">
        <f t="shared" ref="C17:H17" si="11">(C16/B16-1)</f>
        <v>#DIV/0!</v>
      </c>
      <c r="D17" s="27" t="e">
        <f t="shared" si="11"/>
        <v>#DIV/0!</v>
      </c>
      <c r="E17" s="27" t="e">
        <f t="shared" si="11"/>
        <v>#DIV/0!</v>
      </c>
      <c r="F17" s="27">
        <f t="shared" si="11"/>
        <v>-0.13418107942513824</v>
      </c>
      <c r="G17" s="27">
        <f t="shared" si="11"/>
        <v>0.19637979838108932</v>
      </c>
      <c r="H17" s="27">
        <f t="shared" si="11"/>
        <v>-0.32356847850901727</v>
      </c>
      <c r="I17" s="27"/>
      <c r="J17" s="6"/>
      <c r="K17" s="29" t="s">
        <v>41</v>
      </c>
      <c r="L17" s="13"/>
      <c r="M17" s="13"/>
      <c r="N17" s="13"/>
      <c r="O17" s="13">
        <v>980.37</v>
      </c>
      <c r="P17" s="13">
        <v>959.55</v>
      </c>
      <c r="Q17" s="13">
        <v>931.74</v>
      </c>
      <c r="R17" s="13">
        <v>897.43</v>
      </c>
      <c r="S17" s="6"/>
      <c r="T17" s="6"/>
      <c r="U17" s="6"/>
      <c r="V17" s="6"/>
      <c r="W17" s="6"/>
      <c r="X17" s="6"/>
      <c r="Y17" s="6"/>
      <c r="Z17" s="6"/>
    </row>
    <row r="18" spans="1:26" ht="12" customHeight="1">
      <c r="A18" s="133" t="s">
        <v>24</v>
      </c>
      <c r="B18" s="27"/>
      <c r="C18" s="27"/>
      <c r="D18" s="27"/>
      <c r="E18" s="27"/>
      <c r="F18" s="27" t="e">
        <f t="shared" ref="F18:H18" si="12">+((F16/C16)^(1/3)-1)</f>
        <v>#DIV/0!</v>
      </c>
      <c r="G18" s="27" t="e">
        <f t="shared" si="12"/>
        <v>#DIV/0!</v>
      </c>
      <c r="H18" s="27">
        <f t="shared" si="12"/>
        <v>-0.11180840276339354</v>
      </c>
      <c r="I18" s="27"/>
      <c r="J18" s="6"/>
      <c r="K18" s="29" t="s">
        <v>42</v>
      </c>
      <c r="L18" s="13"/>
      <c r="M18" s="13"/>
      <c r="N18" s="13"/>
      <c r="O18" s="13">
        <v>124.11</v>
      </c>
      <c r="P18" s="13">
        <v>176.54</v>
      </c>
      <c r="Q18" s="13">
        <v>230.72</v>
      </c>
      <c r="R18" s="13">
        <v>36.4</v>
      </c>
      <c r="S18" s="55"/>
      <c r="T18" s="6"/>
      <c r="U18" s="6"/>
      <c r="V18" s="6"/>
      <c r="W18" s="6"/>
      <c r="X18" s="6"/>
      <c r="Y18" s="6"/>
      <c r="Z18" s="6"/>
    </row>
    <row r="19" spans="1:26" ht="12" customHeight="1">
      <c r="A19" s="50" t="s">
        <v>44</v>
      </c>
      <c r="B19" s="41" t="e">
        <f t="shared" ref="B19:I19" si="13">(B16/B6)</f>
        <v>#DIV/0!</v>
      </c>
      <c r="C19" s="41" t="e">
        <f t="shared" si="13"/>
        <v>#DIV/0!</v>
      </c>
      <c r="D19" s="41" t="e">
        <f t="shared" si="13"/>
        <v>#DIV/0!</v>
      </c>
      <c r="E19" s="41">
        <f t="shared" si="13"/>
        <v>0.10979389230093806</v>
      </c>
      <c r="F19" s="41">
        <f t="shared" si="13"/>
        <v>0.20174221438554132</v>
      </c>
      <c r="G19" s="41">
        <f t="shared" si="13"/>
        <v>0.23775112687905692</v>
      </c>
      <c r="H19" s="41">
        <f t="shared" si="13"/>
        <v>0.18798141670247412</v>
      </c>
      <c r="I19" s="41">
        <f t="shared" si="13"/>
        <v>8.2759957360209246E-2</v>
      </c>
      <c r="J19" s="6"/>
      <c r="K19" s="29" t="s">
        <v>43</v>
      </c>
      <c r="L19" s="13"/>
      <c r="M19" s="13"/>
      <c r="N19" s="13"/>
      <c r="O19" s="13">
        <v>2.75</v>
      </c>
      <c r="P19" s="13">
        <v>4.0599999999999996</v>
      </c>
      <c r="Q19" s="13">
        <v>2.56</v>
      </c>
      <c r="R19" s="13">
        <v>8.1999999999999993</v>
      </c>
      <c r="S19" s="6"/>
      <c r="T19" s="6"/>
      <c r="U19" s="6"/>
      <c r="V19" s="6"/>
      <c r="W19" s="6"/>
      <c r="X19" s="6"/>
      <c r="Y19" s="6"/>
      <c r="Z19" s="6"/>
    </row>
    <row r="20" spans="1:26" ht="12" customHeight="1">
      <c r="A20" s="29" t="s">
        <v>46</v>
      </c>
      <c r="B20" s="63"/>
      <c r="C20" s="63"/>
      <c r="D20" s="63"/>
      <c r="E20" s="63">
        <v>313.33999999999997</v>
      </c>
      <c r="F20" s="63">
        <v>199.31</v>
      </c>
      <c r="G20" s="63">
        <v>193</v>
      </c>
      <c r="H20" s="63">
        <v>227.76</v>
      </c>
      <c r="I20" s="63">
        <v>56.7</v>
      </c>
      <c r="J20" s="6"/>
      <c r="K20" s="29" t="s">
        <v>45</v>
      </c>
      <c r="L20" s="13"/>
      <c r="M20" s="13"/>
      <c r="N20" s="13"/>
      <c r="O20" s="13">
        <v>0.1</v>
      </c>
      <c r="P20" s="13">
        <v>0.75</v>
      </c>
      <c r="Q20" s="13"/>
      <c r="R20" s="13"/>
      <c r="S20" s="6"/>
      <c r="T20" s="6"/>
      <c r="U20" s="6"/>
      <c r="V20" s="6"/>
      <c r="W20" s="6"/>
      <c r="X20" s="6"/>
      <c r="Y20" s="6"/>
      <c r="Z20" s="6"/>
    </row>
    <row r="21" spans="1:26" ht="12" customHeight="1">
      <c r="A21" s="29" t="s">
        <v>48</v>
      </c>
      <c r="B21" s="63"/>
      <c r="C21" s="63"/>
      <c r="D21" s="63"/>
      <c r="E21" s="63">
        <v>550.75</v>
      </c>
      <c r="F21" s="63">
        <v>211.81</v>
      </c>
      <c r="G21" s="63">
        <v>101.55</v>
      </c>
      <c r="H21" s="63">
        <v>93.13</v>
      </c>
      <c r="I21" s="63">
        <v>25.65</v>
      </c>
      <c r="J21" s="44"/>
      <c r="K21" s="29" t="s">
        <v>155</v>
      </c>
      <c r="L21" s="13"/>
      <c r="M21" s="13"/>
      <c r="N21" s="13"/>
      <c r="O21" s="13"/>
      <c r="P21" s="13"/>
      <c r="Q21" s="13"/>
      <c r="R21" s="13"/>
      <c r="S21" s="6"/>
      <c r="T21" s="6"/>
      <c r="U21" s="6"/>
      <c r="V21" s="6"/>
      <c r="W21" s="6"/>
      <c r="X21" s="6"/>
      <c r="Y21" s="6"/>
      <c r="Z21" s="6"/>
    </row>
    <row r="22" spans="1:26" ht="12" customHeight="1">
      <c r="A22" s="29" t="s">
        <v>156</v>
      </c>
      <c r="B22" s="63"/>
      <c r="C22" s="63"/>
      <c r="D22" s="63"/>
      <c r="E22" s="63"/>
      <c r="F22" s="63"/>
      <c r="G22" s="63"/>
      <c r="H22" s="63"/>
      <c r="I22" s="63"/>
      <c r="J22" s="6"/>
      <c r="K22" s="29" t="s">
        <v>49</v>
      </c>
      <c r="L22" s="13"/>
      <c r="M22" s="13"/>
      <c r="N22" s="13"/>
      <c r="O22" s="13"/>
      <c r="P22" s="13"/>
      <c r="Q22" s="13"/>
      <c r="R22" s="13"/>
      <c r="S22" s="6"/>
      <c r="T22" s="6"/>
      <c r="U22" s="6"/>
      <c r="V22" s="6"/>
      <c r="W22" s="6"/>
      <c r="X22" s="6"/>
      <c r="Y22" s="6"/>
      <c r="Z22" s="6"/>
    </row>
    <row r="23" spans="1:26" ht="12" customHeight="1">
      <c r="A23" s="29" t="s">
        <v>51</v>
      </c>
      <c r="B23" s="63"/>
      <c r="C23" s="63"/>
      <c r="D23" s="63"/>
      <c r="E23" s="63"/>
      <c r="F23" s="63"/>
      <c r="G23" s="63"/>
      <c r="H23" s="63"/>
      <c r="I23" s="63"/>
      <c r="J23" s="6"/>
      <c r="K23" s="29" t="s">
        <v>50</v>
      </c>
      <c r="L23" s="13"/>
      <c r="M23" s="13"/>
      <c r="N23" s="13"/>
      <c r="O23" s="13">
        <v>258.31</v>
      </c>
      <c r="P23" s="13">
        <v>223.41</v>
      </c>
      <c r="Q23" s="13">
        <v>265.39</v>
      </c>
      <c r="R23" s="13">
        <v>274.24</v>
      </c>
      <c r="S23" s="6"/>
      <c r="T23" s="6"/>
      <c r="U23" s="6"/>
      <c r="V23" s="6"/>
      <c r="W23" s="6"/>
      <c r="X23" s="6"/>
      <c r="Y23" s="6"/>
      <c r="Z23" s="6"/>
    </row>
    <row r="24" spans="1:26" ht="12" customHeight="1">
      <c r="A24" s="50" t="s">
        <v>53</v>
      </c>
      <c r="B24" s="22">
        <f t="shared" ref="B24:D24" si="14">(B16-B20-B21+B22+B23)</f>
        <v>0</v>
      </c>
      <c r="C24" s="22">
        <f t="shared" si="14"/>
        <v>0</v>
      </c>
      <c r="D24" s="22">
        <f t="shared" si="14"/>
        <v>0</v>
      </c>
      <c r="E24" s="22">
        <f t="shared" ref="E24:I24" si="15">(E16-E20-E21+E22+E23+E5)</f>
        <v>140.60000000000048</v>
      </c>
      <c r="F24" s="22">
        <f t="shared" si="15"/>
        <v>440.06000000000006</v>
      </c>
      <c r="G24" s="22">
        <f t="shared" si="15"/>
        <v>778.77999999999986</v>
      </c>
      <c r="H24" s="22">
        <f t="shared" si="15"/>
        <v>374.33000000000038</v>
      </c>
      <c r="I24" s="22">
        <f t="shared" si="15"/>
        <v>-34.880000000000031</v>
      </c>
      <c r="J24" s="6"/>
      <c r="K24" s="29" t="s">
        <v>52</v>
      </c>
      <c r="L24" s="13"/>
      <c r="M24" s="13"/>
      <c r="N24" s="13"/>
      <c r="O24" s="13"/>
      <c r="P24" s="13"/>
      <c r="Q24" s="13">
        <v>6.92</v>
      </c>
      <c r="R24" s="13">
        <v>7.17</v>
      </c>
      <c r="S24" s="6"/>
      <c r="T24" s="6"/>
      <c r="U24" s="6"/>
      <c r="V24" s="6"/>
      <c r="W24" s="6"/>
      <c r="X24" s="6"/>
      <c r="Y24" s="6"/>
      <c r="Z24" s="6"/>
    </row>
    <row r="25" spans="1:26" ht="12" customHeight="1">
      <c r="A25" s="29" t="s">
        <v>55</v>
      </c>
      <c r="B25" s="29"/>
      <c r="C25" s="29"/>
      <c r="D25" s="29"/>
      <c r="E25" s="29"/>
      <c r="F25" s="29">
        <v>83.19</v>
      </c>
      <c r="G25" s="29">
        <v>174.58</v>
      </c>
      <c r="H25" s="29">
        <v>53.92</v>
      </c>
      <c r="I25" s="29"/>
      <c r="J25" s="6"/>
      <c r="K25" s="29" t="s">
        <v>54</v>
      </c>
      <c r="L25" s="13"/>
      <c r="M25" s="13"/>
      <c r="N25" s="13"/>
      <c r="O25" s="13">
        <v>293.25</v>
      </c>
      <c r="P25" s="13">
        <v>256.33999999999997</v>
      </c>
      <c r="Q25" s="13">
        <v>7.88</v>
      </c>
      <c r="R25" s="13">
        <v>2.89</v>
      </c>
      <c r="S25" s="6"/>
      <c r="T25" s="6"/>
      <c r="U25" s="6"/>
      <c r="V25" s="6"/>
      <c r="W25" s="6"/>
      <c r="X25" s="6"/>
      <c r="Y25" s="6"/>
      <c r="Z25" s="6"/>
    </row>
    <row r="26" spans="1:26" ht="12" customHeight="1">
      <c r="A26" s="29" t="s">
        <v>57</v>
      </c>
      <c r="B26" s="29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/>
      <c r="J26" s="6"/>
      <c r="K26" s="29" t="s">
        <v>157</v>
      </c>
      <c r="L26" s="13"/>
      <c r="M26" s="13"/>
      <c r="N26" s="13"/>
      <c r="O26" s="13"/>
      <c r="P26" s="13"/>
      <c r="Q26" s="13"/>
      <c r="R26" s="13"/>
      <c r="S26" s="6"/>
      <c r="T26" s="6"/>
      <c r="U26" s="6"/>
      <c r="V26" s="6"/>
      <c r="W26" s="6"/>
      <c r="X26" s="6"/>
      <c r="Y26" s="6"/>
      <c r="Z26" s="6"/>
    </row>
    <row r="27" spans="1:26" ht="12" customHeight="1">
      <c r="A27" s="29" t="s">
        <v>59</v>
      </c>
      <c r="B27" s="29"/>
      <c r="C27" s="29"/>
      <c r="D27" s="29"/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-12.07</v>
      </c>
      <c r="J27" s="6"/>
      <c r="K27" s="29" t="s">
        <v>56</v>
      </c>
      <c r="L27" s="13"/>
      <c r="M27" s="13"/>
      <c r="N27" s="13"/>
      <c r="O27" s="13"/>
      <c r="P27" s="13"/>
      <c r="Q27" s="13"/>
      <c r="R27" s="13"/>
      <c r="S27" s="6"/>
      <c r="T27" s="6"/>
      <c r="U27" s="6"/>
      <c r="V27" s="6"/>
      <c r="W27" s="6"/>
      <c r="X27" s="6"/>
      <c r="Y27" s="6"/>
      <c r="Z27" s="6"/>
    </row>
    <row r="28" spans="1:26" ht="12" customHeight="1">
      <c r="A28" s="29" t="s">
        <v>61</v>
      </c>
      <c r="B28" s="29"/>
      <c r="C28" s="29"/>
      <c r="D28" s="29"/>
      <c r="E28" s="29">
        <f t="shared" ref="E28:H28" si="16">SUM(E25:E27)</f>
        <v>16.71</v>
      </c>
      <c r="F28" s="29">
        <f t="shared" si="16"/>
        <v>160.56</v>
      </c>
      <c r="G28" s="29">
        <f t="shared" si="16"/>
        <v>266.91000000000003</v>
      </c>
      <c r="H28" s="29">
        <f t="shared" si="16"/>
        <v>-93.69</v>
      </c>
      <c r="I28" s="29"/>
      <c r="J28" s="6"/>
      <c r="K28" s="29"/>
      <c r="L28" s="13"/>
      <c r="M28" s="13"/>
      <c r="N28" s="13"/>
      <c r="O28" s="13"/>
      <c r="P28" s="13"/>
      <c r="Q28" s="13"/>
      <c r="R28" s="13"/>
      <c r="S28" s="6"/>
      <c r="T28" s="6"/>
      <c r="U28" s="6"/>
      <c r="V28" s="6"/>
      <c r="W28" s="6"/>
      <c r="X28" s="6"/>
      <c r="Y28" s="6"/>
      <c r="Z28" s="6"/>
    </row>
    <row r="29" spans="1:26" ht="12" customHeight="1">
      <c r="A29" s="133" t="s">
        <v>62</v>
      </c>
      <c r="B29" s="27">
        <v>0</v>
      </c>
      <c r="C29" s="27">
        <v>0</v>
      </c>
      <c r="D29" s="27" t="e">
        <f t="shared" ref="D29:I29" si="17">(D25/D24)</f>
        <v>#DIV/0!</v>
      </c>
      <c r="E29" s="27">
        <f t="shared" si="17"/>
        <v>0</v>
      </c>
      <c r="F29" s="27">
        <f t="shared" si="17"/>
        <v>0.18904240330863969</v>
      </c>
      <c r="G29" s="27">
        <f t="shared" si="17"/>
        <v>0.22417113947456282</v>
      </c>
      <c r="H29" s="27">
        <f t="shared" si="17"/>
        <v>0.14404402532524763</v>
      </c>
      <c r="I29" s="27">
        <f t="shared" si="17"/>
        <v>0</v>
      </c>
      <c r="J29" s="6"/>
      <c r="K29" s="29" t="s">
        <v>158</v>
      </c>
      <c r="L29" s="13"/>
      <c r="M29" s="13"/>
      <c r="N29" s="13"/>
      <c r="O29" s="13"/>
      <c r="P29" s="13"/>
      <c r="Q29" s="13"/>
      <c r="R29" s="13">
        <v>64.56</v>
      </c>
      <c r="S29" s="6"/>
      <c r="T29" s="6"/>
      <c r="U29" s="6"/>
      <c r="V29" s="6"/>
      <c r="W29" s="6"/>
      <c r="X29" s="6"/>
      <c r="Y29" s="6"/>
      <c r="Z29" s="6"/>
    </row>
    <row r="30" spans="1:26" ht="12" customHeight="1">
      <c r="A30" s="50" t="s">
        <v>159</v>
      </c>
      <c r="B30" s="22">
        <f t="shared" ref="B30:D30" si="18">(B24-B25)</f>
        <v>0</v>
      </c>
      <c r="C30" s="22">
        <f t="shared" si="18"/>
        <v>0</v>
      </c>
      <c r="D30" s="22">
        <f t="shared" si="18"/>
        <v>0</v>
      </c>
      <c r="E30" s="22">
        <f t="shared" ref="E30:H30" si="19">(E24-E28)</f>
        <v>123.89000000000047</v>
      </c>
      <c r="F30" s="22">
        <f t="shared" si="19"/>
        <v>279.50000000000006</v>
      </c>
      <c r="G30" s="22">
        <f t="shared" si="19"/>
        <v>511.86999999999983</v>
      </c>
      <c r="H30" s="22">
        <f t="shared" si="19"/>
        <v>468.02000000000038</v>
      </c>
      <c r="I30" s="22">
        <f>(I24-I25)</f>
        <v>-34.880000000000031</v>
      </c>
      <c r="J30" s="6"/>
      <c r="K30" s="29" t="s">
        <v>60</v>
      </c>
      <c r="L30" s="13"/>
      <c r="M30" s="13"/>
      <c r="N30" s="13"/>
      <c r="O30" s="13">
        <v>64.87</v>
      </c>
      <c r="P30" s="13">
        <v>98.71</v>
      </c>
      <c r="Q30" s="13">
        <v>119.94</v>
      </c>
      <c r="R30" s="13">
        <v>190.06</v>
      </c>
      <c r="S30" s="6"/>
      <c r="T30" s="6"/>
      <c r="U30" s="6"/>
      <c r="V30" s="6"/>
      <c r="W30" s="6"/>
      <c r="X30" s="6"/>
      <c r="Y30" s="6"/>
      <c r="Z30" s="6"/>
    </row>
    <row r="31" spans="1:26" ht="12" customHeight="1">
      <c r="A31" s="50" t="s">
        <v>66</v>
      </c>
      <c r="B31" s="41">
        <v>0</v>
      </c>
      <c r="C31" s="41">
        <v>0</v>
      </c>
      <c r="D31" s="41" t="e">
        <f t="shared" ref="D31:I31" si="20">D30/D6</f>
        <v>#DIV/0!</v>
      </c>
      <c r="E31" s="41">
        <f t="shared" si="20"/>
        <v>1.4621325490603415E-2</v>
      </c>
      <c r="F31" s="41">
        <f t="shared" si="20"/>
        <v>7.0004157670902831E-2</v>
      </c>
      <c r="G31" s="41">
        <f t="shared" si="20"/>
        <v>0.12628693659131107</v>
      </c>
      <c r="H31" s="41">
        <f t="shared" si="20"/>
        <v>0.1349682636267423</v>
      </c>
      <c r="I31" s="41">
        <f t="shared" si="20"/>
        <v>-8.4504312433375403E-2</v>
      </c>
      <c r="J31" s="6"/>
      <c r="K31" s="29" t="s">
        <v>56</v>
      </c>
      <c r="L31" s="13"/>
      <c r="M31" s="13"/>
      <c r="N31" s="13"/>
      <c r="O31" s="13">
        <v>121.77</v>
      </c>
      <c r="P31" s="13">
        <v>103.85</v>
      </c>
      <c r="Q31" s="13">
        <v>40.83</v>
      </c>
      <c r="R31" s="13">
        <v>50.9</v>
      </c>
      <c r="S31" s="6"/>
      <c r="T31" s="6"/>
      <c r="U31" s="6"/>
      <c r="V31" s="6"/>
      <c r="W31" s="6"/>
      <c r="X31" s="6"/>
      <c r="Y31" s="6"/>
      <c r="Z31" s="6"/>
    </row>
    <row r="32" spans="1:26" ht="12" customHeight="1">
      <c r="A32" s="133" t="s">
        <v>24</v>
      </c>
      <c r="B32" s="41"/>
      <c r="C32" s="41"/>
      <c r="D32" s="41"/>
      <c r="E32" s="41"/>
      <c r="F32" s="41"/>
      <c r="G32" s="41"/>
      <c r="H32" s="27">
        <f>+((H30/E30)^(1/3)-1)</f>
        <v>0.55743304964398854</v>
      </c>
      <c r="I32" s="27"/>
      <c r="J32" s="6"/>
      <c r="K32" s="50" t="s">
        <v>63</v>
      </c>
      <c r="L32" s="22">
        <f t="shared" ref="L32:P32" si="21">SUM(L33:L42)</f>
        <v>0</v>
      </c>
      <c r="M32" s="22">
        <f t="shared" si="21"/>
        <v>0</v>
      </c>
      <c r="N32" s="22">
        <f t="shared" si="21"/>
        <v>0</v>
      </c>
      <c r="O32" s="22">
        <f t="shared" si="21"/>
        <v>2254.4300000000003</v>
      </c>
      <c r="P32" s="22">
        <f t="shared" si="21"/>
        <v>2358.46</v>
      </c>
      <c r="Q32" s="22">
        <f t="shared" ref="Q32:R32" si="22">SUM(Q33:Q43)</f>
        <v>1033.44</v>
      </c>
      <c r="R32" s="22">
        <f t="shared" si="22"/>
        <v>1491.84</v>
      </c>
      <c r="S32" s="6"/>
      <c r="T32" s="6"/>
      <c r="U32" s="6"/>
      <c r="V32" s="6"/>
      <c r="W32" s="6"/>
      <c r="X32" s="6"/>
      <c r="Y32" s="6"/>
      <c r="Z32" s="6"/>
    </row>
    <row r="33" spans="1:26" ht="12" customHeight="1">
      <c r="A33" s="61" t="s">
        <v>68</v>
      </c>
      <c r="B33" s="61"/>
      <c r="C33" s="61"/>
      <c r="D33" s="61"/>
      <c r="E33" s="61"/>
      <c r="F33" s="61"/>
      <c r="G33" s="61"/>
      <c r="H33" s="61"/>
      <c r="I33" s="61"/>
      <c r="J33" s="6"/>
      <c r="K33" s="13" t="s">
        <v>65</v>
      </c>
      <c r="L33" s="13"/>
      <c r="M33" s="13"/>
      <c r="N33" s="13"/>
      <c r="O33" s="13">
        <v>1264.5</v>
      </c>
      <c r="P33" s="13">
        <v>1178.55</v>
      </c>
      <c r="Q33" s="13">
        <v>627.6</v>
      </c>
      <c r="R33" s="13">
        <v>882.97</v>
      </c>
      <c r="S33" s="6"/>
      <c r="T33" s="6"/>
      <c r="U33" s="6"/>
      <c r="V33" s="6"/>
      <c r="W33" s="6"/>
      <c r="X33" s="6"/>
      <c r="Y33" s="6"/>
      <c r="Z33" s="6"/>
    </row>
    <row r="34" spans="1:26" ht="12" customHeight="1">
      <c r="A34" s="34" t="s">
        <v>70</v>
      </c>
      <c r="B34" s="34"/>
      <c r="C34" s="34"/>
      <c r="D34" s="34"/>
      <c r="E34" s="34">
        <v>-28.9</v>
      </c>
      <c r="F34" s="34">
        <v>167.72</v>
      </c>
      <c r="G34" s="34">
        <v>-46.56</v>
      </c>
      <c r="H34" s="34">
        <v>-27.13</v>
      </c>
      <c r="I34" s="34">
        <v>-6.22</v>
      </c>
      <c r="J34" s="6"/>
      <c r="K34" s="13" t="s">
        <v>49</v>
      </c>
      <c r="L34" s="13"/>
      <c r="M34" s="13"/>
      <c r="N34" s="13"/>
      <c r="O34" s="13"/>
      <c r="P34" s="13"/>
      <c r="Q34" s="13"/>
      <c r="R34" s="13"/>
      <c r="S34" s="6"/>
      <c r="T34" s="6"/>
      <c r="U34" s="6"/>
      <c r="V34" s="6"/>
      <c r="W34" s="6"/>
      <c r="X34" s="6"/>
      <c r="Y34" s="6"/>
      <c r="Z34" s="6"/>
    </row>
    <row r="35" spans="1:26" ht="12" customHeight="1">
      <c r="A35" s="34" t="s">
        <v>160</v>
      </c>
      <c r="B35" s="34"/>
      <c r="C35" s="34"/>
      <c r="D35" s="34"/>
      <c r="E35" s="34"/>
      <c r="F35" s="34"/>
      <c r="G35" s="34">
        <v>5593.46</v>
      </c>
      <c r="H35" s="34"/>
      <c r="I35" s="34"/>
      <c r="J35" s="6"/>
      <c r="K35" s="13" t="s">
        <v>161</v>
      </c>
      <c r="L35" s="13"/>
      <c r="M35" s="13"/>
      <c r="N35" s="13"/>
      <c r="O35" s="13"/>
      <c r="P35" s="13"/>
      <c r="Q35" s="13"/>
      <c r="R35" s="13"/>
      <c r="S35" s="6"/>
      <c r="T35" s="6"/>
      <c r="U35" s="6"/>
      <c r="V35" s="6"/>
      <c r="W35" s="6"/>
      <c r="X35" s="6"/>
      <c r="Y35" s="6"/>
      <c r="Z35" s="6"/>
    </row>
    <row r="36" spans="1:26" ht="12" customHeight="1">
      <c r="A36" s="34" t="s">
        <v>162</v>
      </c>
      <c r="B36" s="34"/>
      <c r="C36" s="34"/>
      <c r="D36" s="34"/>
      <c r="E36" s="34">
        <v>10</v>
      </c>
      <c r="F36" s="34">
        <v>-57.44</v>
      </c>
      <c r="G36" s="34">
        <v>16.79</v>
      </c>
      <c r="H36" s="34">
        <v>9.48</v>
      </c>
      <c r="I36" s="34">
        <v>2.15</v>
      </c>
      <c r="J36" s="6"/>
      <c r="K36" s="13" t="s">
        <v>163</v>
      </c>
      <c r="L36" s="13"/>
      <c r="M36" s="13"/>
      <c r="N36" s="13"/>
      <c r="O36" s="13">
        <v>502.96</v>
      </c>
      <c r="P36" s="13">
        <v>421.47</v>
      </c>
      <c r="Q36" s="13">
        <v>203.86</v>
      </c>
      <c r="R36" s="13">
        <v>182.52</v>
      </c>
      <c r="S36" s="6"/>
      <c r="T36" s="6"/>
      <c r="U36" s="6"/>
      <c r="V36" s="6"/>
      <c r="W36" s="6"/>
      <c r="X36" s="6"/>
      <c r="Y36" s="6"/>
      <c r="Z36" s="6"/>
    </row>
    <row r="37" spans="1:26" ht="12" customHeight="1">
      <c r="A37" s="34" t="s">
        <v>164</v>
      </c>
      <c r="B37" s="34"/>
      <c r="C37" s="34"/>
      <c r="D37" s="34"/>
      <c r="E37" s="34"/>
      <c r="F37" s="34">
        <v>-18.12</v>
      </c>
      <c r="G37" s="34"/>
      <c r="H37" s="34"/>
      <c r="I37" s="34"/>
      <c r="J37" s="6"/>
      <c r="K37" s="13" t="s">
        <v>165</v>
      </c>
      <c r="L37" s="13"/>
      <c r="M37" s="13"/>
      <c r="N37" s="13"/>
      <c r="O37" s="13">
        <v>39.24</v>
      </c>
      <c r="P37" s="13">
        <v>189.31</v>
      </c>
      <c r="Q37" s="13">
        <v>12.64</v>
      </c>
      <c r="R37" s="13">
        <v>45.06</v>
      </c>
      <c r="S37" s="6"/>
      <c r="T37" s="6"/>
      <c r="U37" s="6"/>
      <c r="V37" s="6"/>
      <c r="W37" s="6"/>
      <c r="X37" s="6"/>
      <c r="Y37" s="6"/>
      <c r="Z37" s="6"/>
    </row>
    <row r="38" spans="1:26" ht="12" customHeight="1">
      <c r="A38" s="61"/>
      <c r="B38" s="61"/>
      <c r="C38" s="61"/>
      <c r="D38" s="61"/>
      <c r="E38" s="61"/>
      <c r="F38" s="61"/>
      <c r="G38" s="61"/>
      <c r="H38" s="61"/>
      <c r="I38" s="61"/>
      <c r="J38" s="6"/>
      <c r="K38" s="13" t="s">
        <v>166</v>
      </c>
      <c r="L38" s="13"/>
      <c r="M38" s="13"/>
      <c r="N38" s="13"/>
      <c r="O38" s="13">
        <v>49.97</v>
      </c>
      <c r="P38" s="13">
        <v>60.39</v>
      </c>
      <c r="Q38" s="13">
        <v>37.29</v>
      </c>
      <c r="R38" s="13">
        <v>60.65</v>
      </c>
      <c r="S38" s="6"/>
      <c r="T38" s="6"/>
      <c r="U38" s="6"/>
      <c r="V38" s="6"/>
      <c r="W38" s="6"/>
      <c r="X38" s="6"/>
      <c r="Y38" s="6"/>
      <c r="Z38" s="6"/>
    </row>
    <row r="39" spans="1:26" ht="12" customHeight="1">
      <c r="A39" s="61" t="s">
        <v>78</v>
      </c>
      <c r="B39" s="61"/>
      <c r="C39" s="61"/>
      <c r="D39" s="61"/>
      <c r="E39" s="61">
        <f t="shared" ref="E39:I39" si="23">SUM(E34:E37)</f>
        <v>-18.899999999999999</v>
      </c>
      <c r="F39" s="61">
        <f t="shared" si="23"/>
        <v>92.16</v>
      </c>
      <c r="G39" s="61">
        <f t="shared" si="23"/>
        <v>5563.69</v>
      </c>
      <c r="H39" s="61">
        <f t="shared" si="23"/>
        <v>-17.649999999999999</v>
      </c>
      <c r="I39" s="61">
        <f t="shared" si="23"/>
        <v>-4.07</v>
      </c>
      <c r="J39" s="6"/>
      <c r="K39" s="13" t="s">
        <v>167</v>
      </c>
      <c r="L39" s="13"/>
      <c r="M39" s="13"/>
      <c r="N39" s="13"/>
      <c r="O39" s="13"/>
      <c r="P39" s="13"/>
      <c r="Q39" s="13">
        <v>6.87</v>
      </c>
      <c r="R39" s="13">
        <v>181.17</v>
      </c>
      <c r="S39" s="6"/>
      <c r="T39" s="6"/>
      <c r="U39" s="6"/>
      <c r="V39" s="6"/>
      <c r="W39" s="6"/>
      <c r="X39" s="6"/>
      <c r="Y39" s="6"/>
      <c r="Z39" s="6"/>
    </row>
    <row r="40" spans="1:26" ht="12" customHeight="1">
      <c r="A40" s="61" t="s">
        <v>80</v>
      </c>
      <c r="B40" s="61"/>
      <c r="C40" s="61"/>
      <c r="D40" s="61"/>
      <c r="E40" s="61">
        <f t="shared" ref="E40:I40" si="24">E30+E39</f>
        <v>104.99000000000046</v>
      </c>
      <c r="F40" s="61">
        <f t="shared" si="24"/>
        <v>371.66000000000008</v>
      </c>
      <c r="G40" s="61">
        <f t="shared" si="24"/>
        <v>6075.5599999999995</v>
      </c>
      <c r="H40" s="61">
        <f t="shared" si="24"/>
        <v>450.3700000000004</v>
      </c>
      <c r="I40" s="61">
        <f t="shared" si="24"/>
        <v>-38.950000000000031</v>
      </c>
      <c r="J40" s="6"/>
      <c r="K40" s="13" t="s">
        <v>168</v>
      </c>
      <c r="L40" s="13"/>
      <c r="M40" s="13"/>
      <c r="N40" s="13"/>
      <c r="O40" s="13">
        <v>160.26</v>
      </c>
      <c r="P40" s="13">
        <v>205.82</v>
      </c>
      <c r="Q40" s="13">
        <v>26.04</v>
      </c>
      <c r="R40" s="13">
        <v>30.83</v>
      </c>
      <c r="S40" s="6"/>
      <c r="T40" s="6"/>
      <c r="U40" s="6"/>
      <c r="V40" s="6"/>
      <c r="W40" s="6"/>
      <c r="X40" s="6"/>
      <c r="Y40" s="6"/>
      <c r="Z40" s="6"/>
    </row>
    <row r="41" spans="1:26" ht="12" customHeight="1">
      <c r="A41" s="61" t="s">
        <v>81</v>
      </c>
      <c r="B41" s="61"/>
      <c r="C41" s="61"/>
      <c r="D41" s="61"/>
      <c r="E41" s="61"/>
      <c r="F41" s="61"/>
      <c r="G41" s="61"/>
      <c r="H41" s="61"/>
      <c r="I41" s="61"/>
      <c r="J41" s="6"/>
      <c r="K41" s="13" t="s">
        <v>169</v>
      </c>
      <c r="L41" s="13"/>
      <c r="M41" s="13"/>
      <c r="N41" s="13"/>
      <c r="O41" s="13"/>
      <c r="P41" s="13"/>
      <c r="Q41" s="13"/>
      <c r="R41" s="13"/>
      <c r="S41" s="6"/>
      <c r="T41" s="6"/>
      <c r="U41" s="6"/>
      <c r="V41" s="6"/>
      <c r="W41" s="6"/>
      <c r="X41" s="6"/>
      <c r="Y41" s="6"/>
      <c r="Z41" s="6"/>
    </row>
    <row r="42" spans="1:26" ht="12" customHeight="1">
      <c r="A42" s="61" t="s">
        <v>170</v>
      </c>
      <c r="B42" s="61"/>
      <c r="C42" s="61"/>
      <c r="D42" s="61"/>
      <c r="E42" s="61">
        <f t="shared" ref="E42:H42" si="25">SUM(E43:E44)</f>
        <v>0</v>
      </c>
      <c r="F42" s="61">
        <f t="shared" si="25"/>
        <v>0</v>
      </c>
      <c r="G42" s="61">
        <f t="shared" si="25"/>
        <v>-1.7000000000000002</v>
      </c>
      <c r="H42" s="61">
        <f t="shared" si="25"/>
        <v>1.3</v>
      </c>
      <c r="I42" s="61">
        <v>48.3</v>
      </c>
      <c r="J42" s="6"/>
      <c r="K42" s="13" t="s">
        <v>79</v>
      </c>
      <c r="L42" s="13"/>
      <c r="M42" s="13"/>
      <c r="N42" s="13"/>
      <c r="O42" s="13">
        <v>237.5</v>
      </c>
      <c r="P42" s="13">
        <v>302.92</v>
      </c>
      <c r="Q42" s="13">
        <v>116.91</v>
      </c>
      <c r="R42" s="13">
        <v>107.31</v>
      </c>
      <c r="S42" s="6"/>
      <c r="T42" s="6"/>
      <c r="U42" s="6"/>
      <c r="V42" s="6"/>
      <c r="W42" s="6"/>
      <c r="X42" s="6"/>
      <c r="Y42" s="6"/>
      <c r="Z42" s="6"/>
    </row>
    <row r="43" spans="1:26" ht="12" customHeight="1">
      <c r="A43" s="34" t="s">
        <v>171</v>
      </c>
      <c r="B43" s="34"/>
      <c r="C43" s="34"/>
      <c r="D43" s="34"/>
      <c r="E43" s="34"/>
      <c r="F43" s="34"/>
      <c r="G43" s="34">
        <v>-2.62</v>
      </c>
      <c r="H43" s="34">
        <v>2</v>
      </c>
      <c r="I43" s="34"/>
      <c r="J43" s="6"/>
      <c r="K43" s="13" t="s">
        <v>82</v>
      </c>
      <c r="L43" s="13"/>
      <c r="M43" s="13"/>
      <c r="N43" s="13"/>
      <c r="O43" s="13"/>
      <c r="P43" s="13"/>
      <c r="Q43" s="13">
        <v>2.23</v>
      </c>
      <c r="R43" s="13">
        <v>1.33</v>
      </c>
      <c r="S43" s="6"/>
      <c r="T43" s="6"/>
      <c r="U43" s="6"/>
      <c r="V43" s="6"/>
      <c r="W43" s="6"/>
      <c r="X43" s="6"/>
      <c r="Y43" s="6"/>
      <c r="Z43" s="6"/>
    </row>
    <row r="44" spans="1:26" ht="12" customHeight="1">
      <c r="A44" s="34" t="s">
        <v>172</v>
      </c>
      <c r="B44" s="34"/>
      <c r="C44" s="34"/>
      <c r="D44" s="34"/>
      <c r="E44" s="34"/>
      <c r="F44" s="34"/>
      <c r="G44" s="34">
        <v>0.92</v>
      </c>
      <c r="H44" s="34">
        <v>-0.7</v>
      </c>
      <c r="I44" s="34"/>
      <c r="J44" s="6"/>
      <c r="K44" s="50" t="s">
        <v>85</v>
      </c>
      <c r="L44" s="22">
        <f t="shared" ref="L44:R44" si="26">SUM(L45:L51)</f>
        <v>0</v>
      </c>
      <c r="M44" s="22">
        <f t="shared" si="26"/>
        <v>0</v>
      </c>
      <c r="N44" s="22">
        <f t="shared" si="26"/>
        <v>0</v>
      </c>
      <c r="O44" s="22">
        <f t="shared" si="26"/>
        <v>2859.28</v>
      </c>
      <c r="P44" s="22">
        <f t="shared" si="26"/>
        <v>2593.3000000000002</v>
      </c>
      <c r="Q44" s="22">
        <f t="shared" si="26"/>
        <v>1043.0700000000002</v>
      </c>
      <c r="R44" s="22">
        <f t="shared" si="26"/>
        <v>1659.04</v>
      </c>
      <c r="S44" s="6"/>
      <c r="T44" s="6"/>
      <c r="U44" s="6"/>
      <c r="V44" s="6"/>
      <c r="W44" s="6"/>
      <c r="X44" s="6"/>
      <c r="Y44" s="6"/>
      <c r="Z44" s="6"/>
    </row>
    <row r="45" spans="1:26" ht="12" customHeight="1">
      <c r="A45" s="61" t="s">
        <v>173</v>
      </c>
      <c r="B45" s="61"/>
      <c r="C45" s="61"/>
      <c r="D45" s="61"/>
      <c r="E45" s="61">
        <f t="shared" ref="E45:H45" si="27">SUM(E46:E48)</f>
        <v>87.07</v>
      </c>
      <c r="F45" s="61">
        <f t="shared" si="27"/>
        <v>-34.53</v>
      </c>
      <c r="G45" s="61">
        <f t="shared" si="27"/>
        <v>-39.499999999999993</v>
      </c>
      <c r="H45" s="61">
        <f t="shared" si="27"/>
        <v>-80.16</v>
      </c>
      <c r="I45" s="61">
        <v>0.62</v>
      </c>
      <c r="J45" s="6"/>
      <c r="K45" s="13" t="s">
        <v>87</v>
      </c>
      <c r="L45" s="29"/>
      <c r="M45" s="29"/>
      <c r="N45" s="29"/>
      <c r="O45" s="29"/>
      <c r="P45" s="29"/>
      <c r="Q45" s="29"/>
      <c r="R45" s="29"/>
      <c r="S45" s="6"/>
      <c r="T45" s="6"/>
      <c r="U45" s="6"/>
      <c r="V45" s="6"/>
      <c r="W45" s="6"/>
      <c r="X45" s="6"/>
      <c r="Y45" s="6"/>
      <c r="Z45" s="6"/>
    </row>
    <row r="46" spans="1:26" ht="12" customHeight="1">
      <c r="A46" s="34" t="s">
        <v>174</v>
      </c>
      <c r="B46" s="34"/>
      <c r="C46" s="34"/>
      <c r="D46" s="34"/>
      <c r="E46" s="34">
        <v>9.34</v>
      </c>
      <c r="F46" s="34">
        <v>0.65</v>
      </c>
      <c r="G46" s="34">
        <v>1.56</v>
      </c>
      <c r="H46" s="34">
        <v>-6.15</v>
      </c>
      <c r="I46" s="34"/>
      <c r="J46" s="6"/>
      <c r="K46" s="13" t="s">
        <v>175</v>
      </c>
      <c r="L46" s="29"/>
      <c r="M46" s="29"/>
      <c r="N46" s="29"/>
      <c r="O46" s="29"/>
      <c r="P46" s="29"/>
      <c r="Q46" s="29"/>
      <c r="R46" s="29"/>
      <c r="S46" s="6"/>
      <c r="T46" s="6"/>
      <c r="U46" s="6"/>
      <c r="V46" s="6"/>
      <c r="W46" s="6"/>
      <c r="X46" s="6"/>
      <c r="Y46" s="6"/>
      <c r="Z46" s="6"/>
    </row>
    <row r="47" spans="1:26" ht="12" customHeight="1">
      <c r="A47" s="34" t="s">
        <v>176</v>
      </c>
      <c r="B47" s="34"/>
      <c r="C47" s="34"/>
      <c r="D47" s="34"/>
      <c r="E47" s="34">
        <v>80.959999999999994</v>
      </c>
      <c r="F47" s="34">
        <v>-34.950000000000003</v>
      </c>
      <c r="G47" s="34">
        <v>-40.51</v>
      </c>
      <c r="H47" s="34">
        <v>-76.16</v>
      </c>
      <c r="I47" s="34"/>
      <c r="J47" s="6"/>
      <c r="K47" s="13" t="s">
        <v>177</v>
      </c>
      <c r="L47" s="29"/>
      <c r="M47" s="29"/>
      <c r="N47" s="29"/>
      <c r="O47" s="29"/>
      <c r="P47" s="29"/>
      <c r="Q47" s="29"/>
      <c r="R47" s="29">
        <v>1.95</v>
      </c>
      <c r="S47" s="6"/>
      <c r="T47" s="6"/>
      <c r="U47" s="6"/>
      <c r="V47" s="6"/>
      <c r="W47" s="6"/>
      <c r="X47" s="6"/>
      <c r="Y47" s="6"/>
      <c r="Z47" s="6"/>
    </row>
    <row r="48" spans="1:26" ht="12" customHeight="1">
      <c r="A48" s="34" t="s">
        <v>178</v>
      </c>
      <c r="B48" s="34"/>
      <c r="C48" s="34"/>
      <c r="D48" s="34"/>
      <c r="E48" s="34">
        <v>-3.23</v>
      </c>
      <c r="F48" s="34">
        <v>-0.23</v>
      </c>
      <c r="G48" s="34">
        <v>-0.55000000000000004</v>
      </c>
      <c r="H48" s="34">
        <v>2.15</v>
      </c>
      <c r="I48" s="34">
        <v>-0.21</v>
      </c>
      <c r="J48" s="6"/>
      <c r="K48" s="13" t="s">
        <v>179</v>
      </c>
      <c r="L48" s="29"/>
      <c r="M48" s="29"/>
      <c r="N48" s="29"/>
      <c r="O48" s="29">
        <v>705.82</v>
      </c>
      <c r="P48" s="29">
        <f>678.06+3.74</f>
        <v>681.8</v>
      </c>
      <c r="Q48" s="29">
        <f>6.7+506.31</f>
        <v>513.01</v>
      </c>
      <c r="R48" s="29">
        <f>8.87+431.28</f>
        <v>440.15</v>
      </c>
      <c r="S48" s="6"/>
      <c r="T48" s="6"/>
      <c r="U48" s="6"/>
      <c r="V48" s="6"/>
      <c r="W48" s="6"/>
      <c r="X48" s="6"/>
      <c r="Y48" s="6"/>
      <c r="Z48" s="6"/>
    </row>
    <row r="49" spans="1:26" ht="12" customHeight="1">
      <c r="A49" s="61" t="s">
        <v>180</v>
      </c>
      <c r="B49" s="61"/>
      <c r="C49" s="61"/>
      <c r="D49" s="61"/>
      <c r="E49" s="61">
        <f t="shared" ref="E49:H49" si="28">SUM(E50:E51)</f>
        <v>0</v>
      </c>
      <c r="F49" s="61">
        <f t="shared" si="28"/>
        <v>2.8499999999999996</v>
      </c>
      <c r="G49" s="61">
        <f t="shared" si="28"/>
        <v>0.11</v>
      </c>
      <c r="H49" s="61">
        <f t="shared" si="28"/>
        <v>0</v>
      </c>
      <c r="I49" s="61"/>
      <c r="J49" s="6"/>
      <c r="K49" s="13" t="s">
        <v>181</v>
      </c>
      <c r="L49" s="29"/>
      <c r="M49" s="29"/>
      <c r="N49" s="29"/>
      <c r="O49" s="29">
        <v>1490.11</v>
      </c>
      <c r="P49" s="29">
        <v>1182.0899999999999</v>
      </c>
      <c r="Q49" s="29">
        <v>260.17</v>
      </c>
      <c r="R49" s="29">
        <v>943.47</v>
      </c>
      <c r="S49" s="6"/>
      <c r="T49" s="6"/>
      <c r="U49" s="6"/>
      <c r="V49" s="6"/>
      <c r="W49" s="6"/>
      <c r="X49" s="6"/>
      <c r="Y49" s="6"/>
      <c r="Z49" s="6"/>
    </row>
    <row r="50" spans="1:26" ht="12" customHeight="1">
      <c r="A50" s="34" t="s">
        <v>174</v>
      </c>
      <c r="B50" s="34"/>
      <c r="C50" s="34"/>
      <c r="D50" s="34"/>
      <c r="E50" s="34"/>
      <c r="F50" s="34">
        <v>4.42</v>
      </c>
      <c r="G50" s="34">
        <v>0.16</v>
      </c>
      <c r="H50" s="34"/>
      <c r="I50" s="34"/>
      <c r="J50" s="6"/>
      <c r="K50" s="13" t="s">
        <v>94</v>
      </c>
      <c r="L50" s="29"/>
      <c r="M50" s="29"/>
      <c r="N50" s="29"/>
      <c r="O50" s="29">
        <v>445.82</v>
      </c>
      <c r="P50" s="29">
        <v>418.24</v>
      </c>
      <c r="Q50" s="29">
        <v>175.6</v>
      </c>
      <c r="R50" s="29">
        <v>180.59</v>
      </c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34" t="s">
        <v>172</v>
      </c>
      <c r="B51" s="34"/>
      <c r="C51" s="34"/>
      <c r="D51" s="34"/>
      <c r="E51" s="34"/>
      <c r="F51" s="34">
        <v>-1.57</v>
      </c>
      <c r="G51" s="34">
        <v>-0.05</v>
      </c>
      <c r="H51" s="34"/>
      <c r="I51" s="34"/>
      <c r="J51" s="6"/>
      <c r="K51" s="13" t="s">
        <v>96</v>
      </c>
      <c r="L51" s="29"/>
      <c r="M51" s="29"/>
      <c r="N51" s="29"/>
      <c r="O51" s="29">
        <v>217.53</v>
      </c>
      <c r="P51" s="29">
        <v>311.17</v>
      </c>
      <c r="Q51" s="29">
        <v>94.29</v>
      </c>
      <c r="R51" s="29">
        <v>92.88</v>
      </c>
      <c r="S51" s="6"/>
      <c r="T51" s="6"/>
      <c r="U51" s="6"/>
      <c r="V51" s="6"/>
      <c r="W51" s="6"/>
      <c r="X51" s="6"/>
      <c r="Y51" s="6"/>
      <c r="Z51" s="6"/>
    </row>
    <row r="52" spans="1:26" ht="12" customHeight="1">
      <c r="A52" s="61" t="s">
        <v>86</v>
      </c>
      <c r="B52" s="61"/>
      <c r="C52" s="61"/>
      <c r="D52" s="61"/>
      <c r="E52" s="61">
        <f t="shared" ref="E52:H52" si="29">E42+E45+E49</f>
        <v>87.07</v>
      </c>
      <c r="F52" s="61">
        <f t="shared" si="29"/>
        <v>-31.68</v>
      </c>
      <c r="G52" s="61">
        <f t="shared" si="29"/>
        <v>-41.089999999999996</v>
      </c>
      <c r="H52" s="61">
        <f t="shared" si="29"/>
        <v>-78.86</v>
      </c>
      <c r="I52" s="61">
        <v>48.71</v>
      </c>
      <c r="J52" s="6"/>
      <c r="K52" s="50" t="s">
        <v>97</v>
      </c>
      <c r="L52" s="22">
        <f t="shared" ref="L52:R52" si="30">(L32-L44-L9)</f>
        <v>0</v>
      </c>
      <c r="M52" s="22">
        <f t="shared" si="30"/>
        <v>0</v>
      </c>
      <c r="N52" s="22">
        <f t="shared" si="30"/>
        <v>0</v>
      </c>
      <c r="O52" s="22">
        <f t="shared" si="30"/>
        <v>-2192.6999999999998</v>
      </c>
      <c r="P52" s="22">
        <f t="shared" si="30"/>
        <v>-1697.41</v>
      </c>
      <c r="Q52" s="22">
        <f t="shared" si="30"/>
        <v>-210.07000000000011</v>
      </c>
      <c r="R52" s="22">
        <f t="shared" si="30"/>
        <v>-182.82000000000005</v>
      </c>
      <c r="S52" s="6"/>
      <c r="T52" s="6"/>
      <c r="U52" s="6"/>
      <c r="V52" s="6"/>
      <c r="W52" s="6"/>
      <c r="X52" s="6"/>
      <c r="Y52" s="6"/>
      <c r="Z52" s="6"/>
    </row>
    <row r="53" spans="1:26" ht="12" customHeight="1">
      <c r="A53" s="61" t="s">
        <v>88</v>
      </c>
      <c r="B53" s="61"/>
      <c r="C53" s="61"/>
      <c r="D53" s="61"/>
      <c r="E53" s="61">
        <f t="shared" ref="E53:H53" si="31">E40+E52</f>
        <v>192.06000000000046</v>
      </c>
      <c r="F53" s="61">
        <f t="shared" si="31"/>
        <v>339.98000000000008</v>
      </c>
      <c r="G53" s="61">
        <f t="shared" si="31"/>
        <v>6034.4699999999993</v>
      </c>
      <c r="H53" s="61">
        <f t="shared" si="31"/>
        <v>371.51000000000039</v>
      </c>
      <c r="I53" s="61">
        <v>21.83</v>
      </c>
      <c r="J53" s="6"/>
      <c r="K53" s="29" t="s">
        <v>100</v>
      </c>
      <c r="L53" s="13"/>
      <c r="M53" s="13"/>
      <c r="N53" s="13"/>
      <c r="O53" s="13"/>
      <c r="P53" s="13">
        <v>6.73</v>
      </c>
      <c r="Q53" s="13"/>
      <c r="R53" s="13"/>
      <c r="S53" s="6"/>
      <c r="T53" s="6"/>
      <c r="U53" s="6"/>
      <c r="V53" s="6"/>
      <c r="W53" s="6"/>
      <c r="X53" s="6"/>
      <c r="Y53" s="6"/>
      <c r="Z53" s="6"/>
    </row>
    <row r="54" spans="1:26" ht="12" customHeight="1">
      <c r="A54" s="63" t="s">
        <v>91</v>
      </c>
      <c r="B54" s="63"/>
      <c r="C54" s="63"/>
      <c r="D54" s="63"/>
      <c r="E54" s="63"/>
      <c r="F54" s="63"/>
      <c r="G54" s="63"/>
      <c r="H54" s="63"/>
      <c r="I54" s="63"/>
      <c r="J54" s="6"/>
      <c r="K54" s="29" t="s">
        <v>102</v>
      </c>
      <c r="L54" s="13"/>
      <c r="M54" s="13"/>
      <c r="N54" s="13"/>
      <c r="O54" s="13">
        <v>80.709999999999994</v>
      </c>
      <c r="P54" s="13">
        <v>217.32</v>
      </c>
      <c r="Q54" s="13">
        <v>93.99</v>
      </c>
      <c r="R54" s="13"/>
      <c r="S54" s="6"/>
      <c r="T54" s="6"/>
      <c r="U54" s="6"/>
      <c r="V54" s="6"/>
      <c r="W54" s="6"/>
      <c r="X54" s="6"/>
      <c r="Y54" s="6"/>
      <c r="Z54" s="6"/>
    </row>
    <row r="55" spans="1:26" ht="12" customHeight="1">
      <c r="A55" s="63" t="s">
        <v>93</v>
      </c>
      <c r="B55" s="63"/>
      <c r="C55" s="63"/>
      <c r="D55" s="63"/>
      <c r="E55" s="63">
        <v>11.09</v>
      </c>
      <c r="F55" s="63">
        <v>25.03</v>
      </c>
      <c r="G55" s="63">
        <v>45.83</v>
      </c>
      <c r="H55" s="63">
        <v>41.9</v>
      </c>
      <c r="I55" s="63"/>
      <c r="J55" s="6"/>
      <c r="K55" s="29" t="s">
        <v>104</v>
      </c>
      <c r="L55" s="13"/>
      <c r="M55" s="13"/>
      <c r="N55" s="13"/>
      <c r="O55" s="13">
        <v>156.11000000000001</v>
      </c>
      <c r="P55" s="13">
        <v>813.58</v>
      </c>
      <c r="Q55" s="13">
        <v>686.72</v>
      </c>
      <c r="R55" s="13">
        <v>615.77</v>
      </c>
      <c r="S55" s="6"/>
      <c r="T55" s="6"/>
      <c r="U55" s="6"/>
      <c r="V55" s="6"/>
      <c r="W55" s="6"/>
      <c r="X55" s="6"/>
      <c r="Y55" s="6"/>
      <c r="Z55" s="6"/>
    </row>
    <row r="56" spans="1:26" ht="12" customHeight="1">
      <c r="A56" s="63" t="s">
        <v>95</v>
      </c>
      <c r="B56" s="63"/>
      <c r="C56" s="63"/>
      <c r="D56" s="63"/>
      <c r="E56" s="63">
        <v>-1.69</v>
      </c>
      <c r="F56" s="63">
        <v>8.25</v>
      </c>
      <c r="G56" s="63">
        <v>498.14</v>
      </c>
      <c r="H56" s="63">
        <v>-1.58</v>
      </c>
      <c r="I56" s="63"/>
      <c r="J56" s="6"/>
      <c r="K56" s="29" t="s">
        <v>112</v>
      </c>
      <c r="L56" s="13"/>
      <c r="M56" s="13"/>
      <c r="N56" s="13"/>
      <c r="O56" s="13"/>
      <c r="P56" s="13"/>
      <c r="Q56" s="13">
        <v>42.95</v>
      </c>
      <c r="R56" s="13">
        <v>45.33</v>
      </c>
      <c r="S56" s="6"/>
      <c r="T56" s="6"/>
      <c r="U56" s="6"/>
      <c r="V56" s="6"/>
      <c r="W56" s="6"/>
      <c r="X56" s="6"/>
      <c r="Y56" s="6"/>
      <c r="Z56" s="6"/>
    </row>
    <row r="57" spans="1:26" ht="12" customHeight="1">
      <c r="A57" s="63" t="s">
        <v>182</v>
      </c>
      <c r="B57" s="63"/>
      <c r="C57" s="63"/>
      <c r="D57" s="63"/>
      <c r="E57" s="63">
        <v>9.4</v>
      </c>
      <c r="F57" s="63">
        <v>33.28</v>
      </c>
      <c r="G57" s="63">
        <v>543.97</v>
      </c>
      <c r="H57" s="63">
        <v>40.32</v>
      </c>
      <c r="I57" s="63"/>
      <c r="J57" s="6"/>
      <c r="K57" s="29" t="s">
        <v>106</v>
      </c>
      <c r="L57" s="13"/>
      <c r="M57" s="13"/>
      <c r="N57" s="13"/>
      <c r="O57" s="13"/>
      <c r="P57" s="13">
        <v>97.52</v>
      </c>
      <c r="Q57" s="13">
        <v>91.83</v>
      </c>
      <c r="R57" s="13">
        <v>87.16</v>
      </c>
      <c r="S57" s="6"/>
      <c r="T57" s="6"/>
      <c r="U57" s="6"/>
      <c r="V57" s="6"/>
      <c r="W57" s="6"/>
      <c r="X57" s="6"/>
      <c r="Y57" s="6"/>
      <c r="Z57" s="6"/>
    </row>
    <row r="58" spans="1:26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9" t="s">
        <v>108</v>
      </c>
      <c r="L58" s="12"/>
      <c r="M58" s="12"/>
      <c r="N58" s="12"/>
      <c r="O58" s="13">
        <v>44.56</v>
      </c>
      <c r="P58" s="13"/>
      <c r="Q58" s="13">
        <v>12.2</v>
      </c>
      <c r="R58" s="13">
        <v>15.44</v>
      </c>
      <c r="S58" s="6"/>
      <c r="T58" s="6"/>
      <c r="U58" s="6"/>
      <c r="V58" s="6"/>
      <c r="W58" s="6"/>
      <c r="X58" s="6"/>
      <c r="Y58" s="6"/>
      <c r="Z58" s="6"/>
    </row>
    <row r="59" spans="1:26" ht="1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50" t="s">
        <v>114</v>
      </c>
      <c r="L59" s="22">
        <f t="shared" ref="L59:N59" si="32">SUM(L15:L24)+L32</f>
        <v>0</v>
      </c>
      <c r="M59" s="22">
        <f t="shared" si="32"/>
        <v>0</v>
      </c>
      <c r="N59" s="22">
        <f t="shared" si="32"/>
        <v>0</v>
      </c>
      <c r="O59" s="22">
        <f t="shared" ref="O59:R59" si="33">SUM(O15:O31)+O32</f>
        <v>10336.32</v>
      </c>
      <c r="P59" s="22">
        <f t="shared" si="33"/>
        <v>10331.330000000002</v>
      </c>
      <c r="Q59" s="22">
        <f t="shared" si="33"/>
        <v>6179.27</v>
      </c>
      <c r="R59" s="22">
        <f t="shared" si="33"/>
        <v>6542.79</v>
      </c>
      <c r="S59" s="6"/>
      <c r="T59" s="6"/>
      <c r="U59" s="6"/>
      <c r="V59" s="6"/>
      <c r="W59" s="6"/>
      <c r="X59" s="6"/>
      <c r="Y59" s="6"/>
      <c r="Z59" s="6"/>
    </row>
    <row r="60" spans="1:26" ht="12" customHeight="1">
      <c r="A60" s="2" t="s">
        <v>98</v>
      </c>
      <c r="B60" s="6"/>
      <c r="C60" s="6"/>
      <c r="D60" s="6"/>
      <c r="E60" s="6"/>
      <c r="F60" s="6"/>
      <c r="G60" s="6"/>
      <c r="H60" s="6"/>
      <c r="I60" s="6"/>
      <c r="J60" s="6"/>
      <c r="K60" s="50" t="s">
        <v>116</v>
      </c>
      <c r="L60" s="22">
        <f t="shared" ref="L60:N60" si="34">L57+L44+L10+L6+L53+L58+L54</f>
        <v>0</v>
      </c>
      <c r="M60" s="22">
        <f t="shared" si="34"/>
        <v>0</v>
      </c>
      <c r="N60" s="22">
        <f t="shared" si="34"/>
        <v>0</v>
      </c>
      <c r="O60" s="22">
        <f t="shared" ref="O60:P60" si="35">O57+O44+O10+O6+O53+O58+O54+O55</f>
        <v>10336.32</v>
      </c>
      <c r="P60" s="22">
        <f t="shared" si="35"/>
        <v>10331.329999999998</v>
      </c>
      <c r="Q60" s="22">
        <f t="shared" ref="Q60:R60" si="36">Q57+Q44+Q10+Q6+Q53+Q58+Q54+Q55+Q56</f>
        <v>6179.2699999999995</v>
      </c>
      <c r="R60" s="22">
        <f t="shared" si="36"/>
        <v>6542.7899999999991</v>
      </c>
      <c r="S60" s="6"/>
      <c r="T60" s="6"/>
      <c r="U60" s="6"/>
      <c r="V60" s="6"/>
      <c r="W60" s="6"/>
      <c r="X60" s="6"/>
      <c r="Y60" s="6"/>
      <c r="Z60" s="6"/>
    </row>
    <row r="61" spans="1:26" ht="12" customHeight="1">
      <c r="A61" s="57" t="s">
        <v>149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1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>
      <c r="A62" s="57" t="s">
        <v>101</v>
      </c>
      <c r="B62" s="12"/>
      <c r="C62" s="12"/>
      <c r="D62" s="63"/>
      <c r="E62" s="63"/>
      <c r="F62" s="63">
        <v>-41.47</v>
      </c>
      <c r="G62" s="63">
        <f t="shared" ref="G62:H62" si="37">F73</f>
        <v>-1990.13</v>
      </c>
      <c r="H62" s="63">
        <f t="shared" si="37"/>
        <v>-885.43000000000006</v>
      </c>
      <c r="I62" s="27"/>
      <c r="J62" s="6"/>
      <c r="K62" s="2" t="s">
        <v>119</v>
      </c>
      <c r="L62" s="6"/>
      <c r="M62" s="6"/>
      <c r="N62" s="6"/>
      <c r="O62" s="6"/>
      <c r="P62" s="55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>
      <c r="A63" s="57"/>
      <c r="B63" s="12"/>
      <c r="C63" s="13"/>
      <c r="D63" s="63"/>
      <c r="E63" s="63"/>
      <c r="F63" s="63"/>
      <c r="G63" s="63"/>
      <c r="H63" s="63"/>
      <c r="I63" s="6"/>
      <c r="J63" s="6"/>
      <c r="K63" s="57" t="s">
        <v>121</v>
      </c>
      <c r="L63" s="7" t="s">
        <v>4</v>
      </c>
      <c r="M63" s="7" t="s">
        <v>5</v>
      </c>
      <c r="N63" s="7" t="s">
        <v>6</v>
      </c>
      <c r="O63" s="7" t="s">
        <v>7</v>
      </c>
      <c r="P63" s="7" t="s">
        <v>8</v>
      </c>
      <c r="Q63" s="4" t="s">
        <v>9</v>
      </c>
      <c r="R63" s="4" t="s">
        <v>10</v>
      </c>
      <c r="S63" s="6"/>
      <c r="T63" s="6"/>
      <c r="U63" s="6"/>
      <c r="V63" s="6"/>
      <c r="W63" s="6"/>
      <c r="X63" s="6"/>
      <c r="Y63" s="6"/>
      <c r="Z63" s="6"/>
    </row>
    <row r="64" spans="1:26" ht="12" customHeight="1">
      <c r="A64" s="57"/>
      <c r="B64" s="12"/>
      <c r="C64" s="13"/>
      <c r="D64" s="63"/>
      <c r="E64" s="63"/>
      <c r="F64" s="63"/>
      <c r="G64" s="63"/>
      <c r="H64" s="63"/>
      <c r="I64" s="6"/>
      <c r="J64" s="6"/>
      <c r="K64" s="59" t="s">
        <v>122</v>
      </c>
      <c r="L64" s="61"/>
      <c r="M64" s="61"/>
      <c r="N64" s="61"/>
      <c r="O64" s="61"/>
      <c r="P64" s="61"/>
      <c r="Q64" s="61"/>
      <c r="R64" s="61"/>
      <c r="S64" s="6"/>
      <c r="T64" s="6"/>
      <c r="U64" s="6"/>
      <c r="V64" s="6"/>
      <c r="W64" s="6"/>
      <c r="X64" s="6"/>
      <c r="Y64" s="6"/>
      <c r="Z64" s="6"/>
    </row>
    <row r="65" spans="1:26" ht="12" customHeight="1">
      <c r="A65" s="57"/>
      <c r="B65" s="12"/>
      <c r="C65" s="13"/>
      <c r="D65" s="63"/>
      <c r="E65" s="63"/>
      <c r="F65" s="63"/>
      <c r="G65" s="63"/>
      <c r="H65" s="63"/>
      <c r="I65" s="6"/>
      <c r="J65" s="6"/>
      <c r="K65" s="135" t="s">
        <v>183</v>
      </c>
      <c r="L65" s="52">
        <f t="shared" ref="L65:R65" si="38">B54</f>
        <v>0</v>
      </c>
      <c r="M65" s="52">
        <f t="shared" si="38"/>
        <v>0</v>
      </c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8"/>
        <v>0</v>
      </c>
      <c r="S65" s="6"/>
      <c r="T65" s="6"/>
      <c r="U65" s="6"/>
      <c r="V65" s="6"/>
      <c r="W65" s="6"/>
      <c r="X65" s="6"/>
      <c r="Y65" s="6"/>
      <c r="Z65" s="6"/>
    </row>
    <row r="66" spans="1:26" ht="12" customHeight="1">
      <c r="A66" s="57" t="s">
        <v>103</v>
      </c>
      <c r="B66" s="12"/>
      <c r="C66" s="13"/>
      <c r="D66" s="63"/>
      <c r="E66" s="63">
        <v>940.03</v>
      </c>
      <c r="F66" s="63">
        <v>2209.0500000000002</v>
      </c>
      <c r="G66" s="63">
        <v>624.30999999999995</v>
      </c>
      <c r="H66" s="63">
        <v>400.6</v>
      </c>
      <c r="I66" s="81"/>
      <c r="J66" s="2"/>
      <c r="K66" s="136" t="s">
        <v>126</v>
      </c>
      <c r="L66" s="107">
        <v>0</v>
      </c>
      <c r="M66" s="107">
        <v>0</v>
      </c>
      <c r="N66" s="107" t="e">
        <f t="shared" ref="N66:R66" si="39">(N6*1000000)/D86</f>
        <v>#DIV/0!</v>
      </c>
      <c r="O66" s="107">
        <f t="shared" si="39"/>
        <v>420273.09933597554</v>
      </c>
      <c r="P66" s="107">
        <f t="shared" si="39"/>
        <v>233566.67753905614</v>
      </c>
      <c r="Q66" s="107">
        <f t="shared" si="39"/>
        <v>250880.6883135119</v>
      </c>
      <c r="R66" s="107">
        <f t="shared" si="39"/>
        <v>346286.81565375644</v>
      </c>
      <c r="S66" s="6"/>
      <c r="T66" s="6"/>
      <c r="U66" s="6"/>
      <c r="V66" s="6"/>
      <c r="W66" s="6"/>
      <c r="X66" s="6"/>
      <c r="Y66" s="6"/>
      <c r="Z66" s="6"/>
    </row>
    <row r="67" spans="1:26" ht="12" customHeight="1">
      <c r="A67" s="29" t="s">
        <v>105</v>
      </c>
      <c r="B67" s="13"/>
      <c r="C67" s="13"/>
      <c r="D67" s="63"/>
      <c r="E67" s="63">
        <v>-247</v>
      </c>
      <c r="F67" s="63">
        <v>-194.96</v>
      </c>
      <c r="G67" s="63">
        <v>-208.11</v>
      </c>
      <c r="H67" s="63">
        <v>-486.97</v>
      </c>
      <c r="I67" s="81"/>
      <c r="J67" s="2"/>
      <c r="K67" s="63" t="s">
        <v>128</v>
      </c>
      <c r="L67" s="34"/>
      <c r="M67" s="34"/>
      <c r="N67" s="34">
        <v>0</v>
      </c>
      <c r="O67" s="34">
        <v>0</v>
      </c>
      <c r="P67" s="34">
        <v>0</v>
      </c>
      <c r="Q67" s="34"/>
      <c r="R67" s="34"/>
      <c r="S67" s="6"/>
      <c r="T67" s="6"/>
      <c r="U67" s="6"/>
      <c r="V67" s="6"/>
      <c r="W67" s="6"/>
      <c r="X67" s="6"/>
      <c r="Y67" s="6"/>
      <c r="Z67" s="6"/>
    </row>
    <row r="68" spans="1:26" ht="12" customHeight="1">
      <c r="A68" s="29" t="s">
        <v>107</v>
      </c>
      <c r="B68" s="13"/>
      <c r="C68" s="13"/>
      <c r="D68" s="63"/>
      <c r="E68" s="63">
        <v>-175.17</v>
      </c>
      <c r="F68" s="63">
        <v>-1795.17</v>
      </c>
      <c r="G68" s="63">
        <v>-677.32</v>
      </c>
      <c r="H68" s="63">
        <v>227.36</v>
      </c>
      <c r="I68" s="81"/>
      <c r="J68" s="2"/>
      <c r="K68" s="63" t="s">
        <v>130</v>
      </c>
      <c r="L68" s="107" t="e">
        <f t="shared" ref="L68:R68" si="40">(L64/L65)</f>
        <v>#DIV/0!</v>
      </c>
      <c r="M68" s="107" t="e">
        <f t="shared" si="40"/>
        <v>#DIV/0!</v>
      </c>
      <c r="N68" s="107" t="e">
        <f t="shared" si="40"/>
        <v>#DIV/0!</v>
      </c>
      <c r="O68" s="107" t="e">
        <f t="shared" si="40"/>
        <v>#DIV/0!</v>
      </c>
      <c r="P68" s="107" t="e">
        <f t="shared" si="40"/>
        <v>#DIV/0!</v>
      </c>
      <c r="Q68" s="107" t="e">
        <f t="shared" si="40"/>
        <v>#DIV/0!</v>
      </c>
      <c r="R68" s="107" t="e">
        <f t="shared" si="40"/>
        <v>#DIV/0!</v>
      </c>
      <c r="S68" s="6"/>
      <c r="T68" s="6"/>
      <c r="U68" s="6"/>
      <c r="V68" s="6"/>
      <c r="W68" s="6"/>
      <c r="X68" s="6"/>
      <c r="Y68" s="6"/>
      <c r="Z68" s="6"/>
    </row>
    <row r="69" spans="1:26" ht="12" customHeight="1">
      <c r="A69" s="29"/>
      <c r="B69" s="13"/>
      <c r="C69" s="13"/>
      <c r="D69" s="13"/>
      <c r="E69" s="13"/>
      <c r="F69" s="13"/>
      <c r="G69" s="13"/>
      <c r="H69" s="13"/>
      <c r="I69" s="81"/>
      <c r="J69" s="2"/>
      <c r="K69" s="63" t="s">
        <v>132</v>
      </c>
      <c r="L69" s="107">
        <v>0</v>
      </c>
      <c r="M69" s="107">
        <v>0</v>
      </c>
      <c r="N69" s="107" t="e">
        <f t="shared" ref="N69:R69" si="41">(N64/N66)</f>
        <v>#DIV/0!</v>
      </c>
      <c r="O69" s="107">
        <f t="shared" si="41"/>
        <v>0</v>
      </c>
      <c r="P69" s="107">
        <f t="shared" si="41"/>
        <v>0</v>
      </c>
      <c r="Q69" s="107">
        <f t="shared" si="41"/>
        <v>0</v>
      </c>
      <c r="R69" s="107">
        <f t="shared" si="41"/>
        <v>0</v>
      </c>
      <c r="S69" s="6"/>
      <c r="T69" s="6"/>
      <c r="U69" s="6"/>
      <c r="V69" s="6"/>
      <c r="W69" s="6"/>
      <c r="X69" s="6"/>
      <c r="Y69" s="6"/>
      <c r="Z69" s="6"/>
    </row>
    <row r="70" spans="1:26" ht="12" customHeight="1">
      <c r="A70" s="29"/>
      <c r="B70" s="13"/>
      <c r="C70" s="13"/>
      <c r="D70" s="13"/>
      <c r="E70" s="13"/>
      <c r="F70" s="13"/>
      <c r="G70" s="13"/>
      <c r="H70" s="13"/>
      <c r="I70" s="81"/>
      <c r="J70" s="2"/>
      <c r="K70" s="63" t="s">
        <v>133</v>
      </c>
      <c r="L70" s="107" t="e">
        <f t="shared" ref="L70:R70" si="42">B90/B16</f>
        <v>#DIV/0!</v>
      </c>
      <c r="M70" s="107" t="e">
        <f t="shared" si="42"/>
        <v>#DIV/0!</v>
      </c>
      <c r="N70" s="107" t="e">
        <f t="shared" si="42"/>
        <v>#DIV/0!</v>
      </c>
      <c r="O70" s="107">
        <f t="shared" si="42"/>
        <v>4.9710204125506525</v>
      </c>
      <c r="P70" s="107">
        <f t="shared" si="42"/>
        <v>4.4759522272433827</v>
      </c>
      <c r="Q70" s="107">
        <f t="shared" si="42"/>
        <v>0.8842226511425193</v>
      </c>
      <c r="R70" s="107">
        <f t="shared" si="42"/>
        <v>0.67090588325534972</v>
      </c>
      <c r="S70" s="6"/>
      <c r="T70" s="6"/>
      <c r="U70" s="6"/>
      <c r="V70" s="6"/>
      <c r="W70" s="6"/>
      <c r="X70" s="6"/>
      <c r="Y70" s="6"/>
      <c r="Z70" s="6"/>
    </row>
    <row r="71" spans="1:26" ht="12" customHeight="1">
      <c r="A71" s="57" t="s">
        <v>109</v>
      </c>
      <c r="B71" s="12">
        <f t="shared" ref="B71:H71" si="43">+B68+B69+B70</f>
        <v>0</v>
      </c>
      <c r="C71" s="12">
        <f t="shared" si="43"/>
        <v>0</v>
      </c>
      <c r="D71" s="12">
        <f t="shared" si="43"/>
        <v>0</v>
      </c>
      <c r="E71" s="12">
        <f t="shared" si="43"/>
        <v>-175.17</v>
      </c>
      <c r="F71" s="12">
        <f t="shared" si="43"/>
        <v>-1795.17</v>
      </c>
      <c r="G71" s="12">
        <f t="shared" si="43"/>
        <v>-677.32</v>
      </c>
      <c r="H71" s="12">
        <f t="shared" si="43"/>
        <v>227.36</v>
      </c>
      <c r="I71" s="81"/>
      <c r="J71" s="2"/>
      <c r="K71" s="137" t="s">
        <v>134</v>
      </c>
      <c r="L71" s="114" t="e">
        <f t="shared" ref="L71:R71" si="44">(#REF!/L6)</f>
        <v>#REF!</v>
      </c>
      <c r="M71" s="114" t="e">
        <f t="shared" si="44"/>
        <v>#REF!</v>
      </c>
      <c r="N71" s="114" t="e">
        <f t="shared" si="44"/>
        <v>#REF!</v>
      </c>
      <c r="O71" s="114" t="e">
        <f t="shared" si="44"/>
        <v>#REF!</v>
      </c>
      <c r="P71" s="114" t="e">
        <f t="shared" si="44"/>
        <v>#REF!</v>
      </c>
      <c r="Q71" s="114" t="e">
        <f t="shared" si="44"/>
        <v>#REF!</v>
      </c>
      <c r="R71" s="114" t="e">
        <f t="shared" si="44"/>
        <v>#REF!</v>
      </c>
      <c r="S71" s="6"/>
      <c r="T71" s="6"/>
      <c r="U71" s="6"/>
      <c r="V71" s="6"/>
      <c r="W71" s="6"/>
      <c r="X71" s="6"/>
      <c r="Y71" s="6"/>
      <c r="Z71" s="6"/>
    </row>
    <row r="72" spans="1:26" ht="12" customHeight="1">
      <c r="A72" s="20" t="s">
        <v>184</v>
      </c>
      <c r="B72" s="12"/>
      <c r="C72" s="12"/>
      <c r="D72" s="63"/>
      <c r="E72" s="63"/>
      <c r="F72" s="63">
        <v>12.21</v>
      </c>
      <c r="G72" s="63">
        <v>12.21</v>
      </c>
      <c r="H72" s="63"/>
      <c r="I72" s="88"/>
      <c r="J72" s="2"/>
      <c r="K72" s="137" t="s">
        <v>135</v>
      </c>
      <c r="L72" s="114" t="e">
        <f t="shared" ref="L72:R72" si="45">(B16-B20)/L11</f>
        <v>#DIV/0!</v>
      </c>
      <c r="M72" s="114" t="e">
        <f t="shared" si="45"/>
        <v>#DIV/0!</v>
      </c>
      <c r="N72" s="114" t="e">
        <f t="shared" si="45"/>
        <v>#DIV/0!</v>
      </c>
      <c r="O72" s="114">
        <f t="shared" si="45"/>
        <v>0.10845879068720872</v>
      </c>
      <c r="P72" s="114">
        <f t="shared" si="45"/>
        <v>0.11098193296081206</v>
      </c>
      <c r="Q72" s="114">
        <f t="shared" si="45"/>
        <v>0.15790239334837239</v>
      </c>
      <c r="R72" s="114">
        <f t="shared" si="45"/>
        <v>8.8216817546428877E-2</v>
      </c>
      <c r="S72" s="6"/>
      <c r="T72" s="6"/>
      <c r="U72" s="6"/>
      <c r="V72" s="6"/>
      <c r="W72" s="6"/>
      <c r="X72" s="6"/>
      <c r="Y72" s="6"/>
      <c r="Z72" s="6"/>
    </row>
    <row r="73" spans="1:26" ht="12" customHeight="1">
      <c r="A73" s="57" t="s">
        <v>111</v>
      </c>
      <c r="B73" s="22">
        <f t="shared" ref="B73:H73" si="46">+B67+B71</f>
        <v>0</v>
      </c>
      <c r="C73" s="22">
        <f t="shared" si="46"/>
        <v>0</v>
      </c>
      <c r="D73" s="22">
        <f t="shared" si="46"/>
        <v>0</v>
      </c>
      <c r="E73" s="22">
        <f t="shared" si="46"/>
        <v>-422.16999999999996</v>
      </c>
      <c r="F73" s="23">
        <f t="shared" si="46"/>
        <v>-1990.13</v>
      </c>
      <c r="G73" s="22">
        <f t="shared" si="46"/>
        <v>-885.43000000000006</v>
      </c>
      <c r="H73" s="22">
        <f t="shared" si="46"/>
        <v>-259.61</v>
      </c>
      <c r="I73" s="88"/>
      <c r="J73" s="6"/>
      <c r="K73" s="63" t="s">
        <v>136</v>
      </c>
      <c r="L73" s="117" t="e">
        <f t="shared" ref="L73:R73" si="47">(L10/L6)</f>
        <v>#DIV/0!</v>
      </c>
      <c r="M73" s="117" t="e">
        <f t="shared" si="47"/>
        <v>#DIV/0!</v>
      </c>
      <c r="N73" s="117" t="e">
        <f t="shared" si="47"/>
        <v>#DIV/0!</v>
      </c>
      <c r="O73" s="117">
        <f t="shared" si="47"/>
        <v>1.8993013304537723</v>
      </c>
      <c r="P73" s="117">
        <f t="shared" si="47"/>
        <v>1.4028909454163012</v>
      </c>
      <c r="Q73" s="117">
        <f t="shared" si="47"/>
        <v>0.27280288160556965</v>
      </c>
      <c r="R73" s="117">
        <f t="shared" si="47"/>
        <v>0.1518139451664938</v>
      </c>
      <c r="S73" s="6"/>
      <c r="T73" s="6"/>
      <c r="U73" s="6"/>
      <c r="V73" s="6"/>
      <c r="W73" s="6"/>
      <c r="X73" s="6"/>
      <c r="Y73" s="6"/>
      <c r="Z73" s="6"/>
    </row>
    <row r="74" spans="1:26" ht="12" customHeight="1">
      <c r="A74" s="6"/>
      <c r="B74" s="6"/>
      <c r="C74" s="6"/>
      <c r="D74" s="6"/>
      <c r="E74" s="6"/>
      <c r="F74" s="6"/>
      <c r="G74" s="119"/>
      <c r="H74" s="119"/>
      <c r="I74" s="95"/>
      <c r="J74" s="6"/>
      <c r="K74" s="63" t="s">
        <v>137</v>
      </c>
      <c r="L74" s="117" t="e">
        <f t="shared" ref="L74:R74" si="48">(L10-L38-L37)/L6</f>
        <v>#DIV/0!</v>
      </c>
      <c r="M74" s="117" t="e">
        <f t="shared" si="48"/>
        <v>#DIV/0!</v>
      </c>
      <c r="N74" s="117" t="e">
        <f t="shared" si="48"/>
        <v>#DIV/0!</v>
      </c>
      <c r="O74" s="117">
        <f t="shared" si="48"/>
        <v>1.8633565148719102</v>
      </c>
      <c r="P74" s="117">
        <f t="shared" si="48"/>
        <v>1.3120212235569837</v>
      </c>
      <c r="Q74" s="117">
        <f t="shared" si="48"/>
        <v>0.25770227643210775</v>
      </c>
      <c r="R74" s="117">
        <f t="shared" si="48"/>
        <v>0.12226132999348617</v>
      </c>
      <c r="S74" s="6"/>
      <c r="T74" s="6"/>
      <c r="U74" s="6"/>
      <c r="V74" s="6"/>
      <c r="W74" s="6"/>
      <c r="X74" s="6"/>
      <c r="Y74" s="6"/>
      <c r="Z74" s="6"/>
    </row>
    <row r="75" spans="1:26" ht="12" customHeight="1">
      <c r="A75" s="138" t="s">
        <v>113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95"/>
      <c r="J75" s="6"/>
      <c r="K75" s="63" t="s">
        <v>138</v>
      </c>
      <c r="L75" s="114" t="e">
        <f t="shared" ref="L75:R75" si="49">(L67/L64)</f>
        <v>#DIV/0!</v>
      </c>
      <c r="M75" s="114" t="e">
        <f t="shared" si="49"/>
        <v>#DIV/0!</v>
      </c>
      <c r="N75" s="114" t="e">
        <f t="shared" si="49"/>
        <v>#DIV/0!</v>
      </c>
      <c r="O75" s="114" t="e">
        <f t="shared" si="49"/>
        <v>#DIV/0!</v>
      </c>
      <c r="P75" s="114" t="e">
        <f t="shared" si="49"/>
        <v>#DIV/0!</v>
      </c>
      <c r="Q75" s="114" t="e">
        <f t="shared" si="49"/>
        <v>#DIV/0!</v>
      </c>
      <c r="R75" s="114" t="e">
        <f t="shared" si="49"/>
        <v>#DIV/0!</v>
      </c>
      <c r="S75" s="6"/>
      <c r="T75" s="6"/>
      <c r="U75" s="6"/>
      <c r="V75" s="6"/>
      <c r="W75" s="6"/>
      <c r="X75" s="6"/>
      <c r="Y75" s="6"/>
      <c r="Z75" s="6"/>
    </row>
    <row r="76" spans="1:26" ht="12" customHeight="1">
      <c r="A76" s="29" t="s">
        <v>185</v>
      </c>
      <c r="B76" s="139">
        <f t="shared" ref="B76:C76" si="50">B24</f>
        <v>0</v>
      </c>
      <c r="C76" s="105">
        <f t="shared" si="50"/>
        <v>0</v>
      </c>
      <c r="D76" s="105"/>
      <c r="E76" s="105">
        <f t="shared" ref="E76:H76" si="51">E24</f>
        <v>140.60000000000048</v>
      </c>
      <c r="F76" s="105">
        <f t="shared" si="51"/>
        <v>440.06000000000006</v>
      </c>
      <c r="G76" s="105">
        <f t="shared" si="51"/>
        <v>778.77999999999986</v>
      </c>
      <c r="H76" s="105">
        <f t="shared" si="51"/>
        <v>374.33000000000038</v>
      </c>
      <c r="I76" s="88"/>
      <c r="J76" s="6"/>
      <c r="K76" s="63" t="s">
        <v>139</v>
      </c>
      <c r="L76" s="120" t="e">
        <f>(AVERAGE(L36)/B6*365)</f>
        <v>#DIV/0!</v>
      </c>
      <c r="M76" s="120" t="e">
        <f t="shared" ref="M76:R76" si="52">(AVERAGE(L36:M36)/C6*365)</f>
        <v>#DIV/0!</v>
      </c>
      <c r="N76" s="120" t="e">
        <f t="shared" si="52"/>
        <v>#DIV/0!</v>
      </c>
      <c r="O76" s="120">
        <f t="shared" si="52"/>
        <v>21.665903479660674</v>
      </c>
      <c r="P76" s="120">
        <f t="shared" si="52"/>
        <v>42.255079371440317</v>
      </c>
      <c r="Q76" s="120">
        <f t="shared" si="52"/>
        <v>28.155995341986518</v>
      </c>
      <c r="R76" s="120">
        <f t="shared" si="52"/>
        <v>20.335027093432689</v>
      </c>
      <c r="S76" s="6"/>
      <c r="T76" s="6"/>
      <c r="U76" s="6"/>
      <c r="V76" s="6"/>
      <c r="W76" s="6"/>
      <c r="X76" s="6"/>
      <c r="Y76" s="6"/>
      <c r="Z76" s="6"/>
    </row>
    <row r="77" spans="1:26" ht="12" customHeight="1">
      <c r="A77" s="29" t="s">
        <v>186</v>
      </c>
      <c r="B77" s="139">
        <f t="shared" ref="B77:C77" si="53">B20</f>
        <v>0</v>
      </c>
      <c r="C77" s="105">
        <f t="shared" si="53"/>
        <v>0</v>
      </c>
      <c r="D77" s="105"/>
      <c r="E77" s="105">
        <f t="shared" ref="E77:H77" si="54">E20</f>
        <v>313.33999999999997</v>
      </c>
      <c r="F77" s="105">
        <f t="shared" si="54"/>
        <v>199.31</v>
      </c>
      <c r="G77" s="105">
        <f t="shared" si="54"/>
        <v>193</v>
      </c>
      <c r="H77" s="105">
        <f t="shared" si="54"/>
        <v>227.76</v>
      </c>
      <c r="I77" s="88"/>
      <c r="J77" s="6"/>
      <c r="K77" s="63" t="s">
        <v>140</v>
      </c>
      <c r="L77" s="120" t="e">
        <f>AVERAGE(L46)/(B10+B11+B12)*365</f>
        <v>#DIV/0!</v>
      </c>
      <c r="M77" s="120" t="e">
        <f t="shared" ref="M77:N77" si="55">AVERAGE(L46:M46)/(C10+C11+C12)*365</f>
        <v>#DIV/0!</v>
      </c>
      <c r="N77" s="120" t="e">
        <f t="shared" si="55"/>
        <v>#DIV/0!</v>
      </c>
      <c r="O77" s="120" t="e">
        <f t="shared" ref="O77:R77" si="56">AVERAGE(N46:O46)/(E9)*365</f>
        <v>#DIV/0!</v>
      </c>
      <c r="P77" s="120" t="e">
        <f t="shared" si="56"/>
        <v>#DIV/0!</v>
      </c>
      <c r="Q77" s="120" t="e">
        <f t="shared" si="56"/>
        <v>#DIV/0!</v>
      </c>
      <c r="R77" s="120" t="e">
        <f t="shared" si="56"/>
        <v>#DIV/0!</v>
      </c>
      <c r="S77" s="6"/>
      <c r="T77" s="6"/>
      <c r="U77" s="6"/>
      <c r="V77" s="6"/>
      <c r="W77" s="6"/>
      <c r="X77" s="6"/>
      <c r="Y77" s="6"/>
      <c r="Z77" s="6"/>
    </row>
    <row r="78" spans="1:26" ht="12" customHeight="1">
      <c r="A78" s="29" t="s">
        <v>187</v>
      </c>
      <c r="B78" s="139">
        <f t="shared" ref="B78:C78" si="57">B23</f>
        <v>0</v>
      </c>
      <c r="C78" s="105">
        <f t="shared" si="57"/>
        <v>0</v>
      </c>
      <c r="D78" s="105"/>
      <c r="E78" s="105"/>
      <c r="F78" s="105"/>
      <c r="G78" s="105"/>
      <c r="H78" s="105"/>
      <c r="I78" s="37"/>
      <c r="J78" s="6"/>
      <c r="K78" s="63" t="s">
        <v>141</v>
      </c>
      <c r="L78" s="120" t="e">
        <f>(AVERAGE(L33)/(B10+B11+B12)*365)</f>
        <v>#DIV/0!</v>
      </c>
      <c r="M78" s="120" t="e">
        <f t="shared" ref="M78:N78" si="58">(AVERAGE(L33:M33)/(C10+C11+C12)*365)</f>
        <v>#DIV/0!</v>
      </c>
      <c r="N78" s="120" t="e">
        <f t="shared" si="58"/>
        <v>#DIV/0!</v>
      </c>
      <c r="O78" s="120">
        <f t="shared" ref="O78:R78" si="59">(AVERAGE(N33:O33)/(E9)*365)</f>
        <v>61.798140201243882</v>
      </c>
      <c r="P78" s="120">
        <f t="shared" si="59"/>
        <v>141.92746797646939</v>
      </c>
      <c r="Q78" s="120">
        <f t="shared" si="59"/>
        <v>110.61524715594483</v>
      </c>
      <c r="R78" s="120">
        <f t="shared" si="59"/>
        <v>99.436600286393443</v>
      </c>
      <c r="S78" s="6"/>
      <c r="T78" s="6"/>
      <c r="U78" s="6"/>
      <c r="V78" s="6"/>
      <c r="W78" s="6"/>
      <c r="X78" s="6"/>
      <c r="Y78" s="6"/>
      <c r="Z78" s="6"/>
    </row>
    <row r="79" spans="1:26" ht="12" customHeight="1">
      <c r="A79" s="29" t="s">
        <v>188</v>
      </c>
      <c r="B79" s="139"/>
      <c r="C79" s="105">
        <f>-((M52-L52)-(M38-L38))</f>
        <v>0</v>
      </c>
      <c r="D79" s="105"/>
      <c r="E79" s="105"/>
      <c r="F79" s="105"/>
      <c r="G79" s="105"/>
      <c r="H79" s="105"/>
      <c r="I79" s="119"/>
      <c r="J79" s="6"/>
      <c r="K79" s="63" t="s">
        <v>142</v>
      </c>
      <c r="L79" s="120" t="e">
        <f t="shared" ref="L79:R79" si="60">(L78+L76-L77)</f>
        <v>#DIV/0!</v>
      </c>
      <c r="M79" s="120" t="e">
        <f t="shared" si="60"/>
        <v>#DIV/0!</v>
      </c>
      <c r="N79" s="120" t="e">
        <f t="shared" si="60"/>
        <v>#DIV/0!</v>
      </c>
      <c r="O79" s="120" t="e">
        <f t="shared" si="60"/>
        <v>#DIV/0!</v>
      </c>
      <c r="P79" s="120" t="e">
        <f t="shared" si="60"/>
        <v>#DIV/0!</v>
      </c>
      <c r="Q79" s="120" t="e">
        <f t="shared" si="60"/>
        <v>#DIV/0!</v>
      </c>
      <c r="R79" s="120" t="e">
        <f t="shared" si="60"/>
        <v>#DIV/0!</v>
      </c>
      <c r="S79" s="6"/>
      <c r="T79" s="6"/>
      <c r="U79" s="6"/>
      <c r="V79" s="6"/>
      <c r="W79" s="6"/>
      <c r="X79" s="6"/>
      <c r="Y79" s="6"/>
      <c r="Z79" s="6"/>
    </row>
    <row r="80" spans="1:26" ht="12" customHeight="1">
      <c r="A80" s="29" t="s">
        <v>189</v>
      </c>
      <c r="B80" s="139">
        <f t="shared" ref="B80:C80" si="61">-B25</f>
        <v>0</v>
      </c>
      <c r="C80" s="105">
        <f t="shared" si="61"/>
        <v>0</v>
      </c>
      <c r="D80" s="105"/>
      <c r="E80" s="105"/>
      <c r="F80" s="105"/>
      <c r="G80" s="105"/>
      <c r="H80" s="105"/>
      <c r="I80" s="81"/>
      <c r="J80" s="6"/>
      <c r="K80" s="63" t="s">
        <v>143</v>
      </c>
      <c r="L80" s="120" t="e">
        <f>AVERAGE(L52)/B6*365</f>
        <v>#DIV/0!</v>
      </c>
      <c r="M80" s="120" t="e">
        <f t="shared" ref="M80:R80" si="62">AVERAGE(L52:M52)/C6*365</f>
        <v>#DIV/0!</v>
      </c>
      <c r="N80" s="120" t="e">
        <f t="shared" si="62"/>
        <v>#DIV/0!</v>
      </c>
      <c r="O80" s="120">
        <f t="shared" si="62"/>
        <v>-47.227241291406827</v>
      </c>
      <c r="P80" s="120">
        <f t="shared" si="62"/>
        <v>-177.81433620028955</v>
      </c>
      <c r="Q80" s="120">
        <f t="shared" si="62"/>
        <v>-85.885849063586335</v>
      </c>
      <c r="R80" s="120">
        <f t="shared" si="62"/>
        <v>-20.677645827265316</v>
      </c>
      <c r="S80" s="6"/>
      <c r="T80" s="6"/>
      <c r="U80" s="6"/>
      <c r="V80" s="6"/>
      <c r="W80" s="6"/>
      <c r="X80" s="6"/>
      <c r="Y80" s="6"/>
      <c r="Z80" s="6"/>
    </row>
    <row r="81" spans="1:26" ht="12" customHeight="1">
      <c r="A81" s="57" t="s">
        <v>115</v>
      </c>
      <c r="B81" s="140">
        <f t="shared" ref="B81:C81" si="63">SUM(B76:B80)</f>
        <v>0</v>
      </c>
      <c r="C81" s="22">
        <f t="shared" si="63"/>
        <v>0</v>
      </c>
      <c r="D81" s="22"/>
      <c r="E81" s="22">
        <f t="shared" ref="E81:H81" si="64">SUM(E76:E80)</f>
        <v>453.94000000000045</v>
      </c>
      <c r="F81" s="22">
        <f t="shared" si="64"/>
        <v>639.37000000000012</v>
      </c>
      <c r="G81" s="22">
        <f t="shared" si="64"/>
        <v>971.77999999999986</v>
      </c>
      <c r="H81" s="22">
        <f t="shared" si="64"/>
        <v>602.09000000000037</v>
      </c>
      <c r="I81" s="141"/>
      <c r="J81" s="6"/>
      <c r="K81" s="29" t="s">
        <v>144</v>
      </c>
      <c r="L81" s="114" t="e">
        <f t="shared" ref="L81:R81" si="65">B21/L10</f>
        <v>#DIV/0!</v>
      </c>
      <c r="M81" s="114" t="e">
        <f t="shared" si="65"/>
        <v>#DIV/0!</v>
      </c>
      <c r="N81" s="114" t="e">
        <f t="shared" si="65"/>
        <v>#DIV/0!</v>
      </c>
      <c r="O81" s="114">
        <f t="shared" si="65"/>
        <v>0.116837795409224</v>
      </c>
      <c r="P81" s="114">
        <f t="shared" si="65"/>
        <v>5.4944370802518301E-2</v>
      </c>
      <c r="Q81" s="114">
        <f t="shared" si="65"/>
        <v>0.11258065231369592</v>
      </c>
      <c r="R81" s="114">
        <f t="shared" si="65"/>
        <v>0.17149749558043606</v>
      </c>
      <c r="S81" s="6"/>
      <c r="T81" s="6"/>
      <c r="U81" s="6"/>
      <c r="V81" s="6"/>
      <c r="W81" s="6"/>
      <c r="X81" s="6"/>
      <c r="Y81" s="6"/>
      <c r="Z81" s="6"/>
    </row>
    <row r="82" spans="1:26" ht="12" customHeight="1">
      <c r="A82" s="29" t="s">
        <v>117</v>
      </c>
      <c r="B82" s="139"/>
      <c r="C82" s="105">
        <f>-(M15-L15)</f>
        <v>0</v>
      </c>
      <c r="D82" s="105"/>
      <c r="E82" s="105"/>
      <c r="F82" s="105"/>
      <c r="G82" s="105"/>
      <c r="H82" s="105"/>
      <c r="I82" s="141"/>
      <c r="J82" s="6"/>
      <c r="K82" s="29" t="s">
        <v>145</v>
      </c>
      <c r="L82" s="29"/>
      <c r="M82" s="29"/>
      <c r="N82" s="29" t="e">
        <f t="shared" ref="N82:R82" si="66">D4/N15</f>
        <v>#DIV/0!</v>
      </c>
      <c r="O82" s="34">
        <f t="shared" si="66"/>
        <v>1.3541808754032862</v>
      </c>
      <c r="P82" s="34">
        <f t="shared" si="66"/>
        <v>0.64540773360325343</v>
      </c>
      <c r="Q82" s="34">
        <f t="shared" si="66"/>
        <v>1.1279786506794656</v>
      </c>
      <c r="R82" s="34">
        <f t="shared" si="66"/>
        <v>1.0126063466434827</v>
      </c>
      <c r="S82" s="6"/>
      <c r="T82" s="6"/>
      <c r="U82" s="6"/>
      <c r="V82" s="6"/>
      <c r="W82" s="6"/>
      <c r="X82" s="6"/>
      <c r="Y82" s="6"/>
      <c r="Z82" s="6"/>
    </row>
    <row r="83" spans="1:26" ht="12" customHeight="1">
      <c r="A83" s="50" t="s">
        <v>118</v>
      </c>
      <c r="B83" s="140">
        <f t="shared" ref="B83:C83" si="67">SUM(B81:B82)</f>
        <v>0</v>
      </c>
      <c r="C83" s="22">
        <f t="shared" si="67"/>
        <v>0</v>
      </c>
      <c r="D83" s="22"/>
      <c r="E83" s="22">
        <f t="shared" ref="E83:H83" si="68">SUM(E81:E82)</f>
        <v>453.94000000000045</v>
      </c>
      <c r="F83" s="22">
        <f t="shared" si="68"/>
        <v>639.37000000000012</v>
      </c>
      <c r="G83" s="22">
        <f t="shared" si="68"/>
        <v>971.77999999999986</v>
      </c>
      <c r="H83" s="22">
        <f t="shared" si="68"/>
        <v>602.09000000000037</v>
      </c>
      <c r="I83" s="1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>
      <c r="A84" s="6" t="s">
        <v>120</v>
      </c>
      <c r="B84" s="6"/>
      <c r="C84" s="6"/>
      <c r="D84" s="6"/>
      <c r="E84" s="6"/>
      <c r="F84" s="6"/>
      <c r="G84" s="24"/>
      <c r="H84" s="24"/>
      <c r="I84" s="141"/>
      <c r="J84" s="6"/>
      <c r="K84" s="6"/>
      <c r="L84" s="6"/>
      <c r="M84" s="6"/>
      <c r="N84" s="6"/>
      <c r="O84" s="6"/>
      <c r="P84" s="55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>
      <c r="A85" s="6"/>
      <c r="B85" s="6"/>
      <c r="C85" s="6"/>
      <c r="D85" s="6"/>
      <c r="E85" s="6"/>
      <c r="F85" s="6"/>
      <c r="G85" s="6"/>
      <c r="H85" s="6"/>
      <c r="I85" s="141"/>
      <c r="J85" s="6"/>
      <c r="K85" s="6"/>
      <c r="L85" s="6"/>
      <c r="M85" s="6"/>
      <c r="N85" s="6"/>
      <c r="O85" s="6"/>
      <c r="P85" s="55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>
      <c r="A86" s="29" t="s">
        <v>123</v>
      </c>
      <c r="B86" s="142"/>
      <c r="C86" s="142"/>
      <c r="D86" s="143"/>
      <c r="E86" s="143">
        <f>conso!D68</f>
        <v>5905.350601600001</v>
      </c>
      <c r="F86" s="143">
        <f>conso!E68</f>
        <v>11764.905974400001</v>
      </c>
      <c r="G86" s="143">
        <f>conso!F68</f>
        <v>13179.531761599999</v>
      </c>
      <c r="H86" s="143">
        <f>conso!G68</f>
        <v>10329.6164864</v>
      </c>
      <c r="I86" s="37"/>
      <c r="J86" s="6"/>
      <c r="K86" s="6"/>
      <c r="L86" s="6"/>
      <c r="M86" s="6"/>
      <c r="N86" s="6"/>
      <c r="O86" s="6"/>
      <c r="P86" s="55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>
      <c r="A87" s="29" t="s">
        <v>125</v>
      </c>
      <c r="B87" s="105">
        <f t="shared" ref="B87:H87" si="69">B86*L64/1000000</f>
        <v>0</v>
      </c>
      <c r="C87" s="105">
        <f t="shared" si="69"/>
        <v>0</v>
      </c>
      <c r="D87" s="105">
        <f t="shared" si="69"/>
        <v>0</v>
      </c>
      <c r="E87" s="105">
        <f t="shared" si="69"/>
        <v>0</v>
      </c>
      <c r="F87" s="105">
        <f t="shared" si="69"/>
        <v>0</v>
      </c>
      <c r="G87" s="105">
        <f t="shared" si="69"/>
        <v>0</v>
      </c>
      <c r="H87" s="105">
        <f t="shared" si="69"/>
        <v>0</v>
      </c>
      <c r="I87" s="141"/>
      <c r="J87" s="6"/>
      <c r="K87" s="6"/>
      <c r="L87" s="6"/>
      <c r="M87" s="6"/>
      <c r="N87" s="6"/>
      <c r="O87" s="6"/>
      <c r="P87" s="55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>
      <c r="A88" s="29" t="s">
        <v>127</v>
      </c>
      <c r="B88" s="105">
        <f t="shared" ref="B88:H88" si="70">L10</f>
        <v>0</v>
      </c>
      <c r="C88" s="105">
        <f t="shared" si="70"/>
        <v>0</v>
      </c>
      <c r="D88" s="105">
        <f t="shared" si="70"/>
        <v>0</v>
      </c>
      <c r="E88" s="105">
        <f t="shared" si="70"/>
        <v>4713.7999999999993</v>
      </c>
      <c r="F88" s="105">
        <f t="shared" si="70"/>
        <v>3854.99</v>
      </c>
      <c r="G88" s="105">
        <f t="shared" si="70"/>
        <v>902.02</v>
      </c>
      <c r="H88" s="105">
        <f t="shared" si="70"/>
        <v>543.04</v>
      </c>
      <c r="I88" s="37"/>
      <c r="J88" s="6"/>
      <c r="K88" s="6"/>
      <c r="L88" s="6"/>
      <c r="M88" s="6"/>
      <c r="N88" s="6"/>
      <c r="O88" s="6"/>
      <c r="P88" s="55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>
      <c r="A89" s="29" t="s">
        <v>129</v>
      </c>
      <c r="B89" s="105">
        <f t="shared" ref="B89:C89" si="71">L38</f>
        <v>0</v>
      </c>
      <c r="C89" s="105">
        <f t="shared" si="71"/>
        <v>0</v>
      </c>
      <c r="D89" s="105">
        <f t="shared" ref="D89:H89" si="72">N38+N37</f>
        <v>0</v>
      </c>
      <c r="E89" s="105">
        <f t="shared" si="72"/>
        <v>89.210000000000008</v>
      </c>
      <c r="F89" s="105">
        <f t="shared" si="72"/>
        <v>249.7</v>
      </c>
      <c r="G89" s="105">
        <f t="shared" si="72"/>
        <v>49.93</v>
      </c>
      <c r="H89" s="105">
        <f t="shared" si="72"/>
        <v>105.71000000000001</v>
      </c>
      <c r="I89" s="24"/>
      <c r="J89" s="6"/>
      <c r="K89" s="6"/>
      <c r="L89" s="6"/>
      <c r="M89" s="6"/>
      <c r="N89" s="6"/>
      <c r="O89" s="6"/>
      <c r="P89" s="55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>
      <c r="A90" s="29" t="s">
        <v>131</v>
      </c>
      <c r="B90" s="22">
        <f t="shared" ref="B90:H90" si="73">B87+B88-B89</f>
        <v>0</v>
      </c>
      <c r="C90" s="22">
        <f t="shared" si="73"/>
        <v>0</v>
      </c>
      <c r="D90" s="22">
        <f t="shared" si="73"/>
        <v>0</v>
      </c>
      <c r="E90" s="22">
        <f t="shared" si="73"/>
        <v>4624.5899999999992</v>
      </c>
      <c r="F90" s="22">
        <f t="shared" si="73"/>
        <v>3605.29</v>
      </c>
      <c r="G90" s="22">
        <f t="shared" si="73"/>
        <v>852.09</v>
      </c>
      <c r="H90" s="22">
        <f t="shared" si="73"/>
        <v>437.32999999999993</v>
      </c>
      <c r="I90" s="6"/>
      <c r="J90" s="6"/>
      <c r="K90" s="6"/>
      <c r="L90" s="6"/>
      <c r="M90" s="6"/>
      <c r="N90" s="6"/>
      <c r="O90" s="6"/>
      <c r="P90" s="55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>
      <c r="A91" s="6"/>
      <c r="B91" s="6"/>
      <c r="C91" s="6"/>
      <c r="D91" s="6"/>
      <c r="E91" s="6"/>
      <c r="F91" s="6"/>
      <c r="G91" s="6"/>
      <c r="H91" s="6"/>
      <c r="I91" s="132"/>
      <c r="J91" s="6"/>
      <c r="K91" s="6"/>
      <c r="L91" s="6"/>
      <c r="M91" s="6"/>
      <c r="N91" s="6"/>
      <c r="O91" s="6"/>
      <c r="P91" s="55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>
      <c r="A92" s="6"/>
      <c r="B92" s="6"/>
      <c r="C92" s="6"/>
      <c r="D92" s="6"/>
      <c r="E92" s="6"/>
      <c r="F92" s="6"/>
      <c r="G92" s="6"/>
      <c r="H92" s="6"/>
      <c r="I92" s="141"/>
      <c r="J92" s="6"/>
      <c r="K92" s="6"/>
      <c r="L92" s="6"/>
      <c r="M92" s="6"/>
      <c r="N92" s="6"/>
      <c r="O92" s="6"/>
      <c r="P92" s="55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>
      <c r="A93" s="6"/>
      <c r="B93" s="6"/>
      <c r="C93" s="6"/>
      <c r="D93" s="6"/>
      <c r="E93" s="6"/>
      <c r="F93" s="6"/>
      <c r="G93" s="6"/>
      <c r="H93" s="6"/>
      <c r="I93" s="141"/>
      <c r="J93" s="6"/>
      <c r="K93" s="6"/>
      <c r="L93" s="6"/>
      <c r="M93" s="6"/>
      <c r="N93" s="6"/>
      <c r="O93" s="6"/>
      <c r="P93" s="55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>
      <c r="A94" s="6"/>
      <c r="B94" s="6"/>
      <c r="C94" s="6"/>
      <c r="D94" s="6"/>
      <c r="E94" s="6"/>
      <c r="F94" s="6"/>
      <c r="G94" s="6"/>
      <c r="H94" s="6"/>
      <c r="I94" s="141"/>
      <c r="J94" s="6"/>
      <c r="K94" s="6"/>
      <c r="L94" s="6"/>
      <c r="M94" s="6"/>
      <c r="N94" s="6"/>
      <c r="O94" s="6"/>
      <c r="P94" s="55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>
      <c r="A95" s="6"/>
      <c r="B95" s="6"/>
      <c r="C95" s="6"/>
      <c r="D95" s="6"/>
      <c r="E95" s="6"/>
      <c r="F95" s="6"/>
      <c r="G95" s="6"/>
      <c r="H95" s="6"/>
      <c r="I95" s="37"/>
      <c r="J95" s="6"/>
      <c r="K95" s="6"/>
      <c r="L95" s="6"/>
      <c r="M95" s="6"/>
      <c r="N95" s="6"/>
      <c r="O95" s="6"/>
      <c r="P95" s="55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5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5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5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5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5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5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5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5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5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5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5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5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5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5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5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5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5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5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5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5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5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5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5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5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5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5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5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5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5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5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5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5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5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5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5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5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5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5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5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5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5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5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5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5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5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5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5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5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5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5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5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5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5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5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5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5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5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5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5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5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5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5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5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5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5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5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5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5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5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5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5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5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5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5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5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5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5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5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5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5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5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5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5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5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5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5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5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5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5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5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5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5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5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5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5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5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5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5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5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5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5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5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5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5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5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5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5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5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5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5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5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5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5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5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5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5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5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5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5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5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5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5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5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5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5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5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5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5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5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5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5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5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5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5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5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5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5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5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5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5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5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5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5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5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5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5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5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5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5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5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5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5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5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5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5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5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5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5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5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5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5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5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5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5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5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5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5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5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5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5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5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5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5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5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5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5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5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5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5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5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5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5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5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5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5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5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5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5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5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5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5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5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5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5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5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5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5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5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5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5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5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5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5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5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5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5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5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5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5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5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5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5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5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5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5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5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5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5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5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5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5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5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5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5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5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5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5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5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5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5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5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5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5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5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5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5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5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5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5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5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5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5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5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5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5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5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5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5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5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5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5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5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5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5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5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5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5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5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5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5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5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5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5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5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5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5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5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5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5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5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5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5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5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5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5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5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5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5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5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5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5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5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5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5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5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5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5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5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5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5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5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5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5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5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5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5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5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5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5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5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5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5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5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5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5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5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5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5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5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5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5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5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5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5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5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5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5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5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5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5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5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5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5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5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5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5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5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5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5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5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5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5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5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5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5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5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5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5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5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5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5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5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5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5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5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5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5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5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5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5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5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5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5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5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5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5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5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5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5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5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5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5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5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5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5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5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5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5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5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5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5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5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5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5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5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5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5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5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5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5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5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5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5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5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5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5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5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5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5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5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5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5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5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5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5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5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5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5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5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5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5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5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5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5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5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5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5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5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5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5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5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5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5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5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5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5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5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5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5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5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5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5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5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5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5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5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5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5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5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5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5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5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5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5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5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5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5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5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5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5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5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5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5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5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5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5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5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5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5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5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5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5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5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5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5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5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5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5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5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5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5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5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5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5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5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5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5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5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5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5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5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5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5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5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5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5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5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5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5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5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5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5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5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5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5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5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5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5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5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5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5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5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5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5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5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5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5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5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5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5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5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5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5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5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5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5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5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5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5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5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5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5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5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5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5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5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5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5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5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5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5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5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5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5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5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5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5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5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5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5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5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5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5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5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5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5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5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5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5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5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5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5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5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5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5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5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5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5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5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5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5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5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5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5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5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5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5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5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5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5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5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5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5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5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5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5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5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5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5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5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5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5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5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5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5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5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5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5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5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5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5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5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5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5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5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5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5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5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5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5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5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5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5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5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5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5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5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5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5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5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5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5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5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5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5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5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5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5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5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5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5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5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5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5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5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5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5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5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5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5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5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5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5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5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5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5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5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5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5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5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5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5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5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5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5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5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5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5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5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5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5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5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5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5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5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5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5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5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5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5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5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5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5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5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5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5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5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5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5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5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5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5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5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5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5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5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5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5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5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5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5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5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5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5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5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5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5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5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5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5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5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5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5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5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5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5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5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5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5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5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5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5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5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5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5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5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5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5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5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5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5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5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5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5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5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5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5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5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5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5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5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5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5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5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5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5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5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5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5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5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5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5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5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5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5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5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5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5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5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5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5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5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5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5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5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5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5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5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5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5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5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5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5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5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5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5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5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5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5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5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5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5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5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5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5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5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5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5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5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5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5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5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5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5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5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5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5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5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5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5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5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5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5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5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5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5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5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5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5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5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5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5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5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5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5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5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5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5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5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5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5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5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5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5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5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5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5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5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5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5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5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5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5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5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5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5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5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5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5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5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5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5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5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5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5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5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5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5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5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5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5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5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5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5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5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5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5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5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5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5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5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5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5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5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5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5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5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5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5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5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5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5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5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5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5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5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5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5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5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5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5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5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5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5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5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5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5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5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5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5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5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5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5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5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5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5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5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5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5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5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5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5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5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5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5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5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5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5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5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5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5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5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5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5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5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5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5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5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5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5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5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5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5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5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5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5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5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53125" defaultRowHeight="15" customHeight="1"/>
  <cols>
    <col min="1" max="1" width="42.81640625" customWidth="1"/>
    <col min="2" max="11" width="14.453125" customWidth="1"/>
    <col min="12" max="26" width="8.81640625" customWidth="1"/>
  </cols>
  <sheetData>
    <row r="1" spans="1:12" ht="14.5">
      <c r="B1" s="144" t="s">
        <v>11</v>
      </c>
      <c r="C1" s="144" t="s">
        <v>12</v>
      </c>
      <c r="D1" s="144" t="s">
        <v>11</v>
      </c>
      <c r="E1" s="144" t="s">
        <v>12</v>
      </c>
      <c r="F1" s="144" t="s">
        <v>11</v>
      </c>
      <c r="G1" s="144" t="s">
        <v>12</v>
      </c>
      <c r="H1" s="144" t="s">
        <v>11</v>
      </c>
      <c r="I1" s="144" t="s">
        <v>12</v>
      </c>
      <c r="J1" s="144" t="s">
        <v>11</v>
      </c>
      <c r="K1" s="144" t="s">
        <v>12</v>
      </c>
    </row>
    <row r="2" spans="1:12" ht="14.5">
      <c r="A2" s="145" t="s">
        <v>190</v>
      </c>
      <c r="B2" s="272" t="s">
        <v>191</v>
      </c>
      <c r="C2" s="269"/>
      <c r="D2" s="272" t="s">
        <v>192</v>
      </c>
      <c r="E2" s="269"/>
      <c r="F2" s="272" t="s">
        <v>193</v>
      </c>
      <c r="G2" s="269"/>
      <c r="H2" s="272" t="s">
        <v>194</v>
      </c>
      <c r="I2" s="269"/>
      <c r="J2" s="272" t="s">
        <v>195</v>
      </c>
      <c r="K2" s="269"/>
    </row>
    <row r="3" spans="1:12" ht="14.5">
      <c r="A3" s="146"/>
      <c r="B3" s="146"/>
      <c r="C3" s="146"/>
      <c r="D3" s="146"/>
      <c r="E3" s="146"/>
      <c r="F3" s="146"/>
      <c r="G3" s="146"/>
      <c r="H3" s="146"/>
      <c r="I3" s="146"/>
      <c r="J3" s="147"/>
      <c r="K3" s="147"/>
      <c r="L3" s="148" t="s">
        <v>196</v>
      </c>
    </row>
    <row r="4" spans="1:12" ht="14.5">
      <c r="A4" s="149" t="s">
        <v>197</v>
      </c>
      <c r="B4" s="146"/>
      <c r="C4" s="146"/>
      <c r="D4" s="146"/>
      <c r="E4" s="146"/>
      <c r="F4" s="146"/>
      <c r="G4" s="146"/>
      <c r="H4" s="146"/>
      <c r="I4" s="146"/>
      <c r="J4" s="147"/>
      <c r="K4" s="147"/>
      <c r="L4" s="150" t="s">
        <v>198</v>
      </c>
    </row>
    <row r="5" spans="1:12" ht="14.5">
      <c r="A5" s="146" t="s">
        <v>199</v>
      </c>
      <c r="B5" s="151">
        <f>(2567.36+49.21)*10</f>
        <v>26165.7</v>
      </c>
      <c r="C5" s="151">
        <f>(4068.38+62.59)*10</f>
        <v>41309.700000000004</v>
      </c>
      <c r="D5" s="151">
        <v>7649.2</v>
      </c>
      <c r="E5" s="151">
        <v>18248.8</v>
      </c>
      <c r="F5" s="151">
        <v>20906</v>
      </c>
      <c r="G5" s="151">
        <v>27524</v>
      </c>
      <c r="H5" s="151">
        <v>27507</v>
      </c>
      <c r="I5" s="151">
        <v>39686</v>
      </c>
      <c r="J5" s="152">
        <v>45306.2</v>
      </c>
      <c r="K5" s="152">
        <v>69976.600000000006</v>
      </c>
      <c r="L5" s="153" t="s">
        <v>200</v>
      </c>
    </row>
    <row r="6" spans="1:12" ht="14.5">
      <c r="A6" s="146" t="s">
        <v>201</v>
      </c>
      <c r="B6" s="151"/>
      <c r="C6" s="154">
        <v>39436</v>
      </c>
      <c r="D6" s="151"/>
      <c r="E6" s="154">
        <v>28174</v>
      </c>
      <c r="F6" s="151"/>
      <c r="G6" s="155">
        <v>26613</v>
      </c>
      <c r="H6" s="151"/>
      <c r="I6" s="154">
        <v>32563</v>
      </c>
      <c r="J6" s="152"/>
      <c r="K6" s="155">
        <v>52486</v>
      </c>
      <c r="L6" s="156" t="s">
        <v>202</v>
      </c>
    </row>
    <row r="7" spans="1:12" ht="14.5">
      <c r="A7" s="146" t="s">
        <v>203</v>
      </c>
      <c r="C7" s="157">
        <f>(C5/C6)^(1/3)-1</f>
        <v>1.5593067524595439E-2</v>
      </c>
      <c r="D7" s="158"/>
      <c r="E7" s="158">
        <f>(E5/E6)^(1/3)-1</f>
        <v>-0.13477591471352968</v>
      </c>
      <c r="F7" s="158"/>
      <c r="G7" s="158">
        <f>(G5/G6)^(1/3)-1</f>
        <v>1.1282685800827696E-2</v>
      </c>
      <c r="H7" s="158"/>
      <c r="I7" s="158">
        <f>(I5/I6)^(1/3)-1</f>
        <v>6.8163268584269687E-2</v>
      </c>
      <c r="J7" s="158"/>
      <c r="K7" s="158">
        <f>(K5/K6)^(1/3)-1</f>
        <v>0.10061760099080308</v>
      </c>
    </row>
    <row r="8" spans="1:12" ht="14.5">
      <c r="A8" s="146" t="s">
        <v>204</v>
      </c>
      <c r="B8" s="151">
        <v>2237.3000000000002</v>
      </c>
      <c r="C8" s="151">
        <v>4445.6000000000004</v>
      </c>
      <c r="D8" s="151">
        <v>-3334</v>
      </c>
      <c r="E8" s="151">
        <v>1332</v>
      </c>
      <c r="F8" s="151">
        <v>10384</v>
      </c>
      <c r="G8" s="151">
        <v>12398</v>
      </c>
      <c r="H8" s="151">
        <v>5618</v>
      </c>
      <c r="I8" s="151">
        <v>9973</v>
      </c>
      <c r="J8" s="152">
        <v>8225.7999999999993</v>
      </c>
      <c r="K8" s="152">
        <v>15123.1</v>
      </c>
    </row>
    <row r="9" spans="1:12" ht="14.5">
      <c r="A9" s="146" t="s">
        <v>205</v>
      </c>
      <c r="B9" s="151"/>
      <c r="C9" s="154">
        <v>9046</v>
      </c>
      <c r="D9" s="151"/>
      <c r="E9" s="154">
        <v>1780.4</v>
      </c>
      <c r="F9" s="151"/>
      <c r="G9" s="154">
        <v>12341</v>
      </c>
      <c r="H9" s="151"/>
      <c r="I9" s="154">
        <v>6014</v>
      </c>
      <c r="J9" s="152"/>
      <c r="K9" s="154">
        <v>982.81</v>
      </c>
    </row>
    <row r="10" spans="1:12" ht="14.5">
      <c r="A10" s="146" t="s">
        <v>203</v>
      </c>
      <c r="B10" s="158"/>
      <c r="C10" s="157">
        <f>(C8/C9)^(1/3)-1</f>
        <v>-0.21085295711323915</v>
      </c>
      <c r="D10" s="158"/>
      <c r="E10" s="158">
        <f>(E8/E9)^(1/3)-1</f>
        <v>-9.2188779269090637E-2</v>
      </c>
      <c r="F10" s="158"/>
      <c r="G10" s="158">
        <f>(G8/G9)^(1/3)-1</f>
        <v>1.5372192482916436E-3</v>
      </c>
      <c r="H10" s="158"/>
      <c r="I10" s="158">
        <f>(I8/I9)^(1/3)-1</f>
        <v>0.18364317544663744</v>
      </c>
      <c r="J10" s="158"/>
      <c r="K10" s="158">
        <f>(K8/K9)^(1/3)-1</f>
        <v>1.4872747002612519</v>
      </c>
    </row>
    <row r="11" spans="1:12" ht="14.5">
      <c r="A11" s="146" t="s">
        <v>206</v>
      </c>
      <c r="B11" s="157">
        <f t="shared" ref="B11:K11" si="0">B8/B5</f>
        <v>8.5505069614036699E-2</v>
      </c>
      <c r="C11" s="159">
        <f t="shared" si="0"/>
        <v>0.10761637097340333</v>
      </c>
      <c r="D11" s="158">
        <f t="shared" si="0"/>
        <v>-0.43586257386393351</v>
      </c>
      <c r="E11" s="158">
        <f t="shared" si="0"/>
        <v>7.2991100784709134E-2</v>
      </c>
      <c r="F11" s="158">
        <f t="shared" si="0"/>
        <v>0.49669951210178898</v>
      </c>
      <c r="G11" s="158">
        <f t="shared" si="0"/>
        <v>0.45044324952768494</v>
      </c>
      <c r="H11" s="158">
        <f t="shared" si="0"/>
        <v>0.20423892100192678</v>
      </c>
      <c r="I11" s="158">
        <f t="shared" si="0"/>
        <v>0.25129768684170739</v>
      </c>
      <c r="J11" s="158">
        <f t="shared" si="0"/>
        <v>0.18156013967183299</v>
      </c>
      <c r="K11" s="158">
        <f t="shared" si="0"/>
        <v>0.21611653038301373</v>
      </c>
    </row>
    <row r="12" spans="1:12" ht="14.5">
      <c r="A12" s="146" t="s">
        <v>159</v>
      </c>
      <c r="B12" s="151">
        <v>-336.1</v>
      </c>
      <c r="C12" s="151">
        <v>1617</v>
      </c>
      <c r="D12" s="151">
        <v>-1893</v>
      </c>
      <c r="E12" s="151">
        <v>3506</v>
      </c>
      <c r="F12" s="151">
        <v>7393</v>
      </c>
      <c r="G12" s="151">
        <v>10471</v>
      </c>
      <c r="H12" s="151">
        <v>2367</v>
      </c>
      <c r="I12" s="151">
        <v>5438</v>
      </c>
      <c r="J12" s="152">
        <v>3043.9</v>
      </c>
      <c r="K12" s="152">
        <v>8337.4</v>
      </c>
    </row>
    <row r="13" spans="1:12" ht="14.5">
      <c r="A13" s="146" t="s">
        <v>207</v>
      </c>
      <c r="B13" s="151"/>
      <c r="C13" s="154">
        <v>60631.6</v>
      </c>
      <c r="D13" s="151"/>
      <c r="E13" s="154">
        <v>2531.5</v>
      </c>
      <c r="F13" s="151"/>
      <c r="G13" s="155">
        <v>8169</v>
      </c>
      <c r="H13" s="151"/>
      <c r="I13" s="154">
        <v>4372</v>
      </c>
      <c r="J13" s="152"/>
      <c r="K13" s="155">
        <v>3717.7</v>
      </c>
    </row>
    <row r="14" spans="1:12" ht="14.5">
      <c r="A14" s="146" t="s">
        <v>203</v>
      </c>
      <c r="B14" s="158"/>
      <c r="C14" s="157">
        <f>(C12/C13)^(1/3)-1</f>
        <v>-0.70122999318855683</v>
      </c>
      <c r="D14" s="158"/>
      <c r="E14" s="158">
        <f>(E12/E13)^(1/3)-1</f>
        <v>0.11466575799380951</v>
      </c>
      <c r="F14" s="158"/>
      <c r="G14" s="158">
        <f>(G12/G13)^(1/3)-1</f>
        <v>8.6274924709756284E-2</v>
      </c>
      <c r="H14" s="158"/>
      <c r="I14" s="158">
        <f>(I12/I13)^(1/3)-1</f>
        <v>7.5440407019848443E-2</v>
      </c>
      <c r="J14" s="158"/>
      <c r="K14" s="158">
        <f>(K12/K13)^(1/3)-1</f>
        <v>0.30893706430517587</v>
      </c>
    </row>
    <row r="15" spans="1:12" ht="14.5">
      <c r="A15" s="146" t="s">
        <v>208</v>
      </c>
      <c r="B15" s="160">
        <f t="shared" ref="B15:K15" si="1">B12/B5</f>
        <v>-1.2845060518159271E-2</v>
      </c>
      <c r="C15" s="159">
        <f t="shared" si="1"/>
        <v>3.9143348898684809E-2</v>
      </c>
      <c r="D15" s="158">
        <f t="shared" si="1"/>
        <v>-0.24747686032526278</v>
      </c>
      <c r="E15" s="158">
        <f t="shared" si="1"/>
        <v>0.1921222217351278</v>
      </c>
      <c r="F15" s="158">
        <f t="shared" si="1"/>
        <v>0.35363053668803213</v>
      </c>
      <c r="G15" s="158">
        <f t="shared" si="1"/>
        <v>0.38043162331056535</v>
      </c>
      <c r="H15" s="158">
        <f t="shared" si="1"/>
        <v>8.6050823426764095E-2</v>
      </c>
      <c r="I15" s="158">
        <f t="shared" si="1"/>
        <v>0.13702565136320113</v>
      </c>
      <c r="J15" s="158">
        <f t="shared" si="1"/>
        <v>6.7185065178717265E-2</v>
      </c>
      <c r="K15" s="158">
        <f t="shared" si="1"/>
        <v>0.11914554293863948</v>
      </c>
    </row>
    <row r="16" spans="1:12" ht="14.5">
      <c r="A16" s="146" t="s">
        <v>91</v>
      </c>
      <c r="B16" s="161">
        <v>-2.73</v>
      </c>
      <c r="C16" s="162">
        <v>14.91</v>
      </c>
      <c r="D16" s="163">
        <v>-7.47</v>
      </c>
      <c r="E16" s="163">
        <v>12.67</v>
      </c>
      <c r="F16" s="163">
        <v>20.3</v>
      </c>
      <c r="G16" s="163">
        <v>28.8</v>
      </c>
      <c r="H16" s="163">
        <v>13.73</v>
      </c>
      <c r="I16" s="163">
        <v>32.03</v>
      </c>
      <c r="J16" s="164">
        <v>0.61</v>
      </c>
      <c r="K16" s="164">
        <v>1.67</v>
      </c>
    </row>
    <row r="17" spans="1:11" ht="14.5">
      <c r="A17" s="146"/>
      <c r="B17" s="146"/>
      <c r="C17" s="146"/>
      <c r="D17" s="151"/>
      <c r="E17" s="146"/>
      <c r="F17" s="151"/>
      <c r="G17" s="163"/>
      <c r="H17" s="151"/>
      <c r="I17" s="163"/>
      <c r="J17" s="152"/>
      <c r="K17" s="164"/>
    </row>
    <row r="18" spans="1:11" ht="14.5">
      <c r="A18" s="149" t="s">
        <v>209</v>
      </c>
      <c r="B18" s="146"/>
      <c r="C18" s="146"/>
      <c r="D18" s="151"/>
      <c r="E18" s="146"/>
      <c r="F18" s="151"/>
      <c r="G18" s="163"/>
      <c r="H18" s="151"/>
      <c r="I18" s="163"/>
      <c r="J18" s="152"/>
      <c r="K18" s="164"/>
    </row>
    <row r="19" spans="1:11" ht="14.5">
      <c r="A19" s="146" t="s">
        <v>210</v>
      </c>
      <c r="B19" s="151">
        <v>36473.9</v>
      </c>
      <c r="C19" s="151">
        <v>38768.5</v>
      </c>
      <c r="D19" s="151">
        <v>83196.2</v>
      </c>
      <c r="E19" s="151">
        <v>86735.7</v>
      </c>
      <c r="F19" s="151">
        <v>93691</v>
      </c>
      <c r="G19" s="151">
        <v>104161</v>
      </c>
      <c r="H19" s="151">
        <v>25209.1</v>
      </c>
      <c r="I19" s="151">
        <v>30022.2</v>
      </c>
      <c r="J19" s="152">
        <v>33283.199999999997</v>
      </c>
      <c r="K19" s="152">
        <v>38446.800000000003</v>
      </c>
    </row>
    <row r="20" spans="1:11" ht="14.5">
      <c r="A20" s="146" t="s">
        <v>127</v>
      </c>
      <c r="B20" s="165">
        <f t="shared" ref="B20:K20" si="2">SUM(B21:B22)</f>
        <v>10252</v>
      </c>
      <c r="C20" s="165">
        <f t="shared" si="2"/>
        <v>13155.599999999999</v>
      </c>
      <c r="D20" s="165">
        <f t="shared" si="2"/>
        <v>45632.6</v>
      </c>
      <c r="E20" s="165">
        <f t="shared" si="2"/>
        <v>51698.2</v>
      </c>
      <c r="F20" s="165">
        <f t="shared" si="2"/>
        <v>15338</v>
      </c>
      <c r="G20" s="165">
        <f t="shared" si="2"/>
        <v>28555</v>
      </c>
      <c r="H20" s="165">
        <f t="shared" si="2"/>
        <v>27692.5</v>
      </c>
      <c r="I20" s="165">
        <f t="shared" si="2"/>
        <v>30675.4</v>
      </c>
      <c r="J20" s="165">
        <f t="shared" si="2"/>
        <v>15355.1</v>
      </c>
      <c r="K20" s="165">
        <f t="shared" si="2"/>
        <v>15706.5</v>
      </c>
    </row>
    <row r="21" spans="1:11" ht="15.75" customHeight="1">
      <c r="A21" s="146" t="s">
        <v>211</v>
      </c>
      <c r="B21" s="151">
        <v>8649.7000000000007</v>
      </c>
      <c r="C21" s="151">
        <v>3818.2</v>
      </c>
      <c r="D21" s="151">
        <v>10000</v>
      </c>
      <c r="E21" s="163">
        <v>10000</v>
      </c>
      <c r="F21" s="151">
        <v>3590</v>
      </c>
      <c r="G21" s="151">
        <v>21650</v>
      </c>
      <c r="H21" s="151">
        <v>23452.9</v>
      </c>
      <c r="I21" s="151">
        <v>26085.7</v>
      </c>
      <c r="J21" s="152">
        <v>2550.9</v>
      </c>
      <c r="K21" s="152">
        <v>3096.9</v>
      </c>
    </row>
    <row r="22" spans="1:11" ht="15.75" customHeight="1">
      <c r="A22" s="146" t="s">
        <v>212</v>
      </c>
      <c r="B22" s="151">
        <v>1602.3</v>
      </c>
      <c r="C22" s="151">
        <v>9337.4</v>
      </c>
      <c r="D22" s="151">
        <v>35632.6</v>
      </c>
      <c r="E22" s="163">
        <v>41698.199999999997</v>
      </c>
      <c r="F22" s="151">
        <v>11748</v>
      </c>
      <c r="G22" s="151">
        <v>6905</v>
      </c>
      <c r="H22" s="151">
        <v>4239.6000000000004</v>
      </c>
      <c r="I22" s="151">
        <v>4589.7</v>
      </c>
      <c r="J22" s="152">
        <v>12804.2</v>
      </c>
      <c r="K22" s="152">
        <v>12609.6</v>
      </c>
    </row>
    <row r="23" spans="1:11" ht="15.75" customHeight="1">
      <c r="A23" s="146"/>
      <c r="B23" s="146"/>
      <c r="C23" s="146"/>
      <c r="D23" s="151"/>
      <c r="E23" s="146"/>
      <c r="F23" s="151"/>
      <c r="G23" s="163"/>
      <c r="H23" s="151"/>
      <c r="I23" s="163"/>
      <c r="J23" s="152"/>
      <c r="K23" s="164"/>
    </row>
    <row r="24" spans="1:11" ht="15.75" customHeight="1">
      <c r="A24" s="149" t="s">
        <v>98</v>
      </c>
      <c r="B24" s="146"/>
      <c r="C24" s="146"/>
      <c r="D24" s="151"/>
      <c r="E24" s="146"/>
      <c r="F24" s="151"/>
      <c r="G24" s="163"/>
      <c r="H24" s="151"/>
      <c r="I24" s="163"/>
      <c r="J24" s="152"/>
      <c r="K24" s="164"/>
    </row>
    <row r="25" spans="1:11" ht="15.75" customHeight="1">
      <c r="A25" s="146" t="s">
        <v>213</v>
      </c>
      <c r="B25" s="151">
        <v>5663.9</v>
      </c>
      <c r="C25" s="151">
        <v>-511.3</v>
      </c>
      <c r="D25" s="151">
        <v>-6712.1</v>
      </c>
      <c r="E25" s="151">
        <v>-4516.8</v>
      </c>
      <c r="F25" s="151">
        <v>6960</v>
      </c>
      <c r="G25" s="151">
        <v>10687</v>
      </c>
      <c r="H25" s="151">
        <v>4752</v>
      </c>
      <c r="I25" s="151">
        <v>7735.9</v>
      </c>
      <c r="J25" s="152">
        <v>4991.1000000000004</v>
      </c>
      <c r="K25" s="152">
        <v>9063.7999999999993</v>
      </c>
    </row>
    <row r="26" spans="1:11" ht="15.75" customHeight="1">
      <c r="A26" s="146" t="s">
        <v>118</v>
      </c>
      <c r="B26" s="165">
        <f t="shared" ref="B26:K26" si="3">B25-B27</f>
        <v>4781.3999999999996</v>
      </c>
      <c r="C26" s="165">
        <f t="shared" si="3"/>
        <v>773.2</v>
      </c>
      <c r="D26" s="165">
        <f t="shared" si="3"/>
        <v>-7995.3</v>
      </c>
      <c r="E26" s="165">
        <f t="shared" si="3"/>
        <v>-5980.9</v>
      </c>
      <c r="F26" s="165">
        <f t="shared" si="3"/>
        <v>-6281</v>
      </c>
      <c r="G26" s="165">
        <f t="shared" si="3"/>
        <v>-1376</v>
      </c>
      <c r="H26" s="165">
        <f t="shared" si="3"/>
        <v>-6980.9</v>
      </c>
      <c r="I26" s="165">
        <f t="shared" si="3"/>
        <v>-547.20000000000073</v>
      </c>
      <c r="J26" s="165">
        <f t="shared" si="3"/>
        <v>8325.5</v>
      </c>
      <c r="K26" s="165">
        <f t="shared" si="3"/>
        <v>12679.9</v>
      </c>
    </row>
    <row r="27" spans="1:11" ht="15.75" customHeight="1">
      <c r="A27" s="146" t="s">
        <v>214</v>
      </c>
      <c r="B27" s="146">
        <v>882.5</v>
      </c>
      <c r="C27" s="146">
        <v>-1284.5</v>
      </c>
      <c r="D27" s="151">
        <v>1283.2</v>
      </c>
      <c r="E27" s="146">
        <v>1464.1</v>
      </c>
      <c r="F27" s="151">
        <v>13241</v>
      </c>
      <c r="G27" s="151">
        <v>12063</v>
      </c>
      <c r="H27" s="151">
        <v>11732.9</v>
      </c>
      <c r="I27" s="151">
        <v>8283.1</v>
      </c>
      <c r="J27" s="152">
        <v>-3334.4</v>
      </c>
      <c r="K27" s="164">
        <v>-3616.1</v>
      </c>
    </row>
    <row r="28" spans="1:11" ht="15.75" customHeight="1">
      <c r="A28" s="146"/>
      <c r="B28" s="146"/>
      <c r="C28" s="146"/>
      <c r="D28" s="151"/>
      <c r="E28" s="146"/>
      <c r="F28" s="151"/>
      <c r="G28" s="163"/>
      <c r="H28" s="151"/>
      <c r="I28" s="163"/>
      <c r="J28" s="152"/>
      <c r="K28" s="164"/>
    </row>
    <row r="29" spans="1:11" ht="15.75" customHeight="1">
      <c r="A29" s="146" t="s">
        <v>215</v>
      </c>
      <c r="B29" s="151">
        <f t="shared" ref="B29:C29" si="4">111695680/1000000</f>
        <v>111.69568</v>
      </c>
      <c r="C29" s="151">
        <f t="shared" si="4"/>
        <v>111.69568</v>
      </c>
      <c r="D29" s="166">
        <f>277943051/1000000</f>
        <v>277.94305100000003</v>
      </c>
      <c r="E29" s="151">
        <f>277988067/1000000</f>
        <v>277.988067</v>
      </c>
      <c r="F29" s="151">
        <f t="shared" ref="F29:G29" si="5">363602237/1000000</f>
        <v>363.602237</v>
      </c>
      <c r="G29" s="151">
        <f t="shared" si="5"/>
        <v>363.602237</v>
      </c>
      <c r="H29" s="151">
        <f t="shared" ref="H29:I29" si="6">169402344/1000000</f>
        <v>169.402344</v>
      </c>
      <c r="I29" s="151">
        <f t="shared" si="6"/>
        <v>169.402344</v>
      </c>
      <c r="J29" s="152">
        <f t="shared" ref="J29:K29" si="7">5095955670/1000000</f>
        <v>5095.9556700000003</v>
      </c>
      <c r="K29" s="152">
        <f t="shared" si="7"/>
        <v>5095.9556700000003</v>
      </c>
    </row>
    <row r="30" spans="1:11" ht="15.75" customHeight="1">
      <c r="A30" s="146" t="s">
        <v>125</v>
      </c>
      <c r="B30" s="151">
        <f t="shared" ref="B30:K30" si="8">B29*B42</f>
        <v>51904.982495999997</v>
      </c>
      <c r="C30" s="151">
        <f t="shared" si="8"/>
        <v>95315.508528000006</v>
      </c>
      <c r="D30" s="151">
        <f t="shared" si="8"/>
        <v>391441.09587585001</v>
      </c>
      <c r="E30" s="151">
        <f t="shared" si="8"/>
        <v>464823.8468307</v>
      </c>
      <c r="F30" s="151">
        <f t="shared" si="8"/>
        <v>209216.7271698</v>
      </c>
      <c r="G30" s="151">
        <f t="shared" si="8"/>
        <v>341531.58121410001</v>
      </c>
      <c r="H30" s="151">
        <f t="shared" si="8"/>
        <v>25393.411365600001</v>
      </c>
      <c r="I30" s="151">
        <f t="shared" si="8"/>
        <v>51532.193044799998</v>
      </c>
      <c r="J30" s="151">
        <f t="shared" si="8"/>
        <v>71598.177163500004</v>
      </c>
      <c r="K30" s="151">
        <f t="shared" si="8"/>
        <v>270850.04386049998</v>
      </c>
    </row>
    <row r="31" spans="1:11" ht="15.75" customHeight="1">
      <c r="A31" s="146" t="s">
        <v>216</v>
      </c>
      <c r="B31" s="151">
        <f t="shared" ref="B31:K31" si="9">B30+B20-B32-B33</f>
        <v>60907.682495999994</v>
      </c>
      <c r="C31" s="151">
        <f t="shared" si="9"/>
        <v>107328.10852800001</v>
      </c>
      <c r="D31" s="151">
        <f t="shared" si="9"/>
        <v>430341.19587584998</v>
      </c>
      <c r="E31" s="151">
        <f t="shared" si="9"/>
        <v>503136.94683070004</v>
      </c>
      <c r="F31" s="151">
        <f t="shared" si="9"/>
        <v>223223.7271698</v>
      </c>
      <c r="G31" s="151">
        <f t="shared" si="9"/>
        <v>367155.58121410001</v>
      </c>
      <c r="H31" s="151">
        <f t="shared" si="9"/>
        <v>52890.611365599994</v>
      </c>
      <c r="I31" s="151">
        <f t="shared" si="9"/>
        <v>81985.5930448</v>
      </c>
      <c r="J31" s="151">
        <f t="shared" si="9"/>
        <v>85767.27716350001</v>
      </c>
      <c r="K31" s="151">
        <f t="shared" si="9"/>
        <v>283631.9438605</v>
      </c>
    </row>
    <row r="32" spans="1:11" ht="15.75" customHeight="1">
      <c r="A32" s="146" t="s">
        <v>217</v>
      </c>
      <c r="B32" s="146">
        <v>505.4</v>
      </c>
      <c r="C32" s="146">
        <v>348.2</v>
      </c>
      <c r="D32" s="151">
        <v>2687.1</v>
      </c>
      <c r="E32" s="146">
        <v>1790.8</v>
      </c>
      <c r="F32" s="151">
        <v>789</v>
      </c>
      <c r="G32" s="151">
        <v>1238</v>
      </c>
      <c r="H32" s="151">
        <v>59.8</v>
      </c>
      <c r="I32" s="151">
        <v>88.8</v>
      </c>
      <c r="J32" s="152">
        <v>986.6</v>
      </c>
      <c r="K32" s="164">
        <v>2710.5</v>
      </c>
    </row>
    <row r="33" spans="1:11" ht="15.75" customHeight="1">
      <c r="A33" s="146" t="s">
        <v>218</v>
      </c>
      <c r="B33" s="146">
        <v>743.9</v>
      </c>
      <c r="C33" s="146">
        <v>794.8</v>
      </c>
      <c r="D33" s="151">
        <v>4045.4</v>
      </c>
      <c r="E33" s="146">
        <v>11594.3</v>
      </c>
      <c r="F33" s="151">
        <v>542</v>
      </c>
      <c r="G33" s="151">
        <v>1693</v>
      </c>
      <c r="H33" s="151">
        <v>135.5</v>
      </c>
      <c r="I33" s="151">
        <v>133.19999999999999</v>
      </c>
      <c r="J33" s="152">
        <v>199.4</v>
      </c>
      <c r="K33" s="164">
        <v>214.1</v>
      </c>
    </row>
    <row r="34" spans="1:11" ht="15.75" customHeight="1">
      <c r="A34" s="146"/>
      <c r="B34" s="146"/>
      <c r="C34" s="146"/>
      <c r="D34" s="151"/>
      <c r="E34" s="146"/>
      <c r="F34" s="151"/>
      <c r="G34" s="163"/>
      <c r="H34" s="151"/>
      <c r="I34" s="163"/>
      <c r="J34" s="152"/>
      <c r="K34" s="164"/>
    </row>
    <row r="35" spans="1:11" ht="15.75" customHeight="1">
      <c r="A35" s="146" t="s">
        <v>219</v>
      </c>
      <c r="B35" s="167">
        <f t="shared" ref="B35:K35" si="10">B42/B16</f>
        <v>-170.2197802197802</v>
      </c>
      <c r="C35" s="167">
        <f t="shared" si="10"/>
        <v>57.233400402414489</v>
      </c>
      <c r="D35" s="168">
        <f t="shared" si="10"/>
        <v>-188.53413654618473</v>
      </c>
      <c r="E35" s="168">
        <f t="shared" si="10"/>
        <v>131.97316495659035</v>
      </c>
      <c r="F35" s="168">
        <f t="shared" si="10"/>
        <v>28.344827586206893</v>
      </c>
      <c r="G35" s="168">
        <f t="shared" si="10"/>
        <v>32.614583333333329</v>
      </c>
      <c r="H35" s="168">
        <f t="shared" si="10"/>
        <v>10.917698470502549</v>
      </c>
      <c r="I35" s="168">
        <f t="shared" si="10"/>
        <v>9.4973462379019669</v>
      </c>
      <c r="J35" s="168">
        <f t="shared" si="10"/>
        <v>23.032786885245905</v>
      </c>
      <c r="K35" s="168">
        <f t="shared" si="10"/>
        <v>31.826347305389223</v>
      </c>
    </row>
    <row r="36" spans="1:11" ht="15.75" customHeight="1">
      <c r="A36" s="146" t="s">
        <v>138</v>
      </c>
      <c r="B36" s="160">
        <f t="shared" ref="B36:K36" si="11">B37/B42</f>
        <v>2.151925973746503E-3</v>
      </c>
      <c r="C36" s="160">
        <f t="shared" si="11"/>
        <v>4.6874084490537296E-3</v>
      </c>
      <c r="D36" s="158">
        <f t="shared" si="11"/>
        <v>0</v>
      </c>
      <c r="E36" s="158">
        <f t="shared" si="11"/>
        <v>0</v>
      </c>
      <c r="F36" s="158">
        <f t="shared" si="11"/>
        <v>0</v>
      </c>
      <c r="G36" s="158">
        <f t="shared" si="11"/>
        <v>0</v>
      </c>
      <c r="H36" s="158">
        <f t="shared" si="11"/>
        <v>2.6684456304202801E-2</v>
      </c>
      <c r="I36" s="158">
        <f t="shared" si="11"/>
        <v>1.8080210387902695E-2</v>
      </c>
      <c r="J36" s="158">
        <f t="shared" si="11"/>
        <v>2.562277580071174E-2</v>
      </c>
      <c r="K36" s="158">
        <f t="shared" si="11"/>
        <v>6.7732831608654752E-3</v>
      </c>
    </row>
    <row r="37" spans="1:11" ht="15.75" customHeight="1">
      <c r="A37" s="146" t="s">
        <v>220</v>
      </c>
      <c r="B37" s="169">
        <v>1</v>
      </c>
      <c r="C37" s="169">
        <v>4</v>
      </c>
      <c r="D37" s="151">
        <v>0</v>
      </c>
      <c r="E37" s="163">
        <v>0</v>
      </c>
      <c r="F37" s="151"/>
      <c r="G37" s="163"/>
      <c r="H37" s="151">
        <v>4</v>
      </c>
      <c r="I37" s="163">
        <v>5.5</v>
      </c>
      <c r="J37" s="164">
        <v>0.36</v>
      </c>
      <c r="K37" s="164">
        <v>0.36</v>
      </c>
    </row>
    <row r="38" spans="1:11" ht="15.75" customHeight="1">
      <c r="A38" s="146" t="s">
        <v>221</v>
      </c>
      <c r="B38" s="170">
        <f t="shared" ref="B38:K38" si="12">B42/B44</f>
        <v>1.4230719088444066</v>
      </c>
      <c r="C38" s="171">
        <f t="shared" si="12"/>
        <v>2.4585812844964341</v>
      </c>
      <c r="D38" s="163">
        <f t="shared" si="12"/>
        <v>4.7050357573525003</v>
      </c>
      <c r="E38" s="163">
        <f t="shared" si="12"/>
        <v>5.3590833627987093</v>
      </c>
      <c r="F38" s="163">
        <f t="shared" si="12"/>
        <v>2.2330504228773309</v>
      </c>
      <c r="G38" s="163">
        <f t="shared" si="12"/>
        <v>3.2788815508117239</v>
      </c>
      <c r="H38" s="163">
        <f t="shared" si="12"/>
        <v>1.0073113028866563</v>
      </c>
      <c r="I38" s="163">
        <f t="shared" si="12"/>
        <v>1.7164695806703039</v>
      </c>
      <c r="J38" s="163">
        <f t="shared" si="12"/>
        <v>2.1511806906637587</v>
      </c>
      <c r="K38" s="163">
        <f t="shared" si="12"/>
        <v>7.0448007080043062</v>
      </c>
    </row>
    <row r="39" spans="1:11" ht="15.75" customHeight="1">
      <c r="A39" s="146" t="s">
        <v>222</v>
      </c>
      <c r="B39" s="172">
        <f t="shared" ref="B39:K39" si="13">B31/B8</f>
        <v>27.223744020024132</v>
      </c>
      <c r="C39" s="172">
        <f t="shared" si="13"/>
        <v>24.142547356487313</v>
      </c>
      <c r="D39" s="169">
        <f t="shared" si="13"/>
        <v>-129.07654345406419</v>
      </c>
      <c r="E39" s="169">
        <f t="shared" si="13"/>
        <v>377.73044056358862</v>
      </c>
      <c r="F39" s="169">
        <f t="shared" si="13"/>
        <v>21.496892061806626</v>
      </c>
      <c r="G39" s="169">
        <f t="shared" si="13"/>
        <v>29.61409753299726</v>
      </c>
      <c r="H39" s="169">
        <f t="shared" si="13"/>
        <v>9.414491165112139</v>
      </c>
      <c r="I39" s="169">
        <f t="shared" si="13"/>
        <v>8.2207553439085537</v>
      </c>
      <c r="J39" s="169">
        <f t="shared" si="13"/>
        <v>10.426618342714388</v>
      </c>
      <c r="K39" s="169">
        <f t="shared" si="13"/>
        <v>18.754881198993591</v>
      </c>
    </row>
    <row r="40" spans="1:11" ht="15.75" customHeight="1">
      <c r="A40" s="146"/>
      <c r="B40" s="146"/>
      <c r="C40" s="146"/>
      <c r="D40" s="151"/>
      <c r="E40" s="146"/>
      <c r="F40" s="151"/>
      <c r="G40" s="163"/>
      <c r="H40" s="151"/>
      <c r="I40" s="163"/>
      <c r="J40" s="152"/>
      <c r="K40" s="164"/>
    </row>
    <row r="41" spans="1:11" ht="15.75" customHeight="1">
      <c r="A41" s="149" t="s">
        <v>223</v>
      </c>
      <c r="B41" s="146"/>
      <c r="C41" s="146"/>
      <c r="D41" s="151"/>
      <c r="E41" s="146"/>
      <c r="F41" s="151"/>
      <c r="G41" s="163"/>
      <c r="H41" s="151"/>
      <c r="I41" s="163"/>
      <c r="J41" s="152"/>
      <c r="K41" s="164"/>
    </row>
    <row r="42" spans="1:11" ht="15.75" customHeight="1">
      <c r="A42" s="146" t="s">
        <v>224</v>
      </c>
      <c r="B42" s="169">
        <v>464.7</v>
      </c>
      <c r="C42" s="146">
        <v>853.35</v>
      </c>
      <c r="D42" s="163">
        <v>1408.35</v>
      </c>
      <c r="E42" s="169">
        <v>1672.1</v>
      </c>
      <c r="F42" s="163">
        <v>575.4</v>
      </c>
      <c r="G42" s="163">
        <v>939.3</v>
      </c>
      <c r="H42" s="163">
        <v>149.9</v>
      </c>
      <c r="I42" s="163">
        <v>304.2</v>
      </c>
      <c r="J42" s="164">
        <v>14.05</v>
      </c>
      <c r="K42" s="164">
        <v>53.15</v>
      </c>
    </row>
    <row r="43" spans="1:11" ht="15.75" customHeight="1">
      <c r="A43" s="146" t="s">
        <v>225</v>
      </c>
      <c r="B43" s="165">
        <f t="shared" ref="B43:K43" si="14">B19</f>
        <v>36473.9</v>
      </c>
      <c r="C43" s="165">
        <f t="shared" si="14"/>
        <v>38768.5</v>
      </c>
      <c r="D43" s="165">
        <f t="shared" si="14"/>
        <v>83196.2</v>
      </c>
      <c r="E43" s="165">
        <f t="shared" si="14"/>
        <v>86735.7</v>
      </c>
      <c r="F43" s="165">
        <f t="shared" si="14"/>
        <v>93691</v>
      </c>
      <c r="G43" s="165">
        <f t="shared" si="14"/>
        <v>104161</v>
      </c>
      <c r="H43" s="165">
        <f t="shared" si="14"/>
        <v>25209.1</v>
      </c>
      <c r="I43" s="165">
        <f t="shared" si="14"/>
        <v>30022.2</v>
      </c>
      <c r="J43" s="165">
        <f t="shared" si="14"/>
        <v>33283.199999999997</v>
      </c>
      <c r="K43" s="165">
        <f t="shared" si="14"/>
        <v>38446.800000000003</v>
      </c>
    </row>
    <row r="44" spans="1:11" ht="15.75" customHeight="1">
      <c r="A44" s="146" t="s">
        <v>226</v>
      </c>
      <c r="B44" s="168">
        <f t="shared" ref="B44:K44" si="15">B43/B29</f>
        <v>326.54709653945434</v>
      </c>
      <c r="C44" s="168">
        <f t="shared" si="15"/>
        <v>347.09041567229815</v>
      </c>
      <c r="D44" s="168">
        <f t="shared" si="15"/>
        <v>299.32822461533669</v>
      </c>
      <c r="E44" s="168">
        <f t="shared" si="15"/>
        <v>312.01231382352825</v>
      </c>
      <c r="F44" s="168">
        <f t="shared" si="15"/>
        <v>257.67443229454057</v>
      </c>
      <c r="G44" s="168">
        <f t="shared" si="15"/>
        <v>286.4696346738923</v>
      </c>
      <c r="H44" s="168">
        <f t="shared" si="15"/>
        <v>148.81199046454751</v>
      </c>
      <c r="I44" s="168">
        <f t="shared" si="15"/>
        <v>177.22423014406459</v>
      </c>
      <c r="J44" s="168">
        <f t="shared" si="15"/>
        <v>6.5312970040023908</v>
      </c>
      <c r="K44" s="168">
        <f t="shared" si="15"/>
        <v>7.5445711245757368</v>
      </c>
    </row>
    <row r="45" spans="1:11" ht="15.75" customHeight="1">
      <c r="A45" s="146" t="s">
        <v>227</v>
      </c>
      <c r="B45" s="173">
        <f t="shared" ref="B45:K45" si="16">B12/B19</f>
        <v>-9.214808397237477E-3</v>
      </c>
      <c r="C45" s="173">
        <f t="shared" si="16"/>
        <v>4.1709119517133755E-2</v>
      </c>
      <c r="D45" s="174">
        <f t="shared" si="16"/>
        <v>-2.2753443065909262E-2</v>
      </c>
      <c r="E45" s="174">
        <f t="shared" si="16"/>
        <v>4.0421648755933258E-2</v>
      </c>
      <c r="F45" s="174">
        <f t="shared" si="16"/>
        <v>7.8908326306689008E-2</v>
      </c>
      <c r="G45" s="174">
        <f t="shared" si="16"/>
        <v>0.10052706867253579</v>
      </c>
      <c r="H45" s="174">
        <f t="shared" si="16"/>
        <v>9.3894665021758028E-2</v>
      </c>
      <c r="I45" s="174">
        <f t="shared" si="16"/>
        <v>0.1811326285215607</v>
      </c>
      <c r="J45" s="174">
        <f t="shared" si="16"/>
        <v>9.1454547639650038E-2</v>
      </c>
      <c r="K45" s="174">
        <f t="shared" si="16"/>
        <v>0.2168554990272272</v>
      </c>
    </row>
    <row r="46" spans="1:11" ht="15.75" customHeight="1">
      <c r="A46" s="146" t="s">
        <v>228</v>
      </c>
      <c r="B46" s="173">
        <f t="shared" ref="B46:K46" si="17">B47/B49</f>
        <v>-1.4224286238771946E-3</v>
      </c>
      <c r="C46" s="173">
        <f t="shared" si="17"/>
        <v>4.367953637204592E-2</v>
      </c>
      <c r="D46" s="174">
        <f t="shared" si="17"/>
        <v>-3.7239817715449978E-2</v>
      </c>
      <c r="E46" s="174">
        <f t="shared" si="17"/>
        <v>1.1419434596483341E-2</v>
      </c>
      <c r="F46" s="174">
        <f t="shared" si="17"/>
        <v>0.10002507648327398</v>
      </c>
      <c r="G46" s="174">
        <f t="shared" si="17"/>
        <v>9.3410656599073674E-2</v>
      </c>
      <c r="H46" s="174">
        <f t="shared" si="17"/>
        <v>7.1649633201206889E-2</v>
      </c>
      <c r="I46" s="174">
        <f t="shared" si="17"/>
        <v>0.12712360033636186</v>
      </c>
      <c r="J46" s="174">
        <f t="shared" si="17"/>
        <v>0.12362121358654986</v>
      </c>
      <c r="K46" s="174">
        <f t="shared" si="17"/>
        <v>0.26294189245221605</v>
      </c>
    </row>
    <row r="47" spans="1:11" ht="15.75" customHeight="1">
      <c r="A47" s="146" t="s">
        <v>229</v>
      </c>
      <c r="B47" s="165">
        <f t="shared" ref="B47:K47" si="18">B8-B48</f>
        <v>-74</v>
      </c>
      <c r="C47" s="165">
        <f t="shared" si="18"/>
        <v>2139.0000000000005</v>
      </c>
      <c r="D47" s="165">
        <f t="shared" si="18"/>
        <v>-3529.4</v>
      </c>
      <c r="E47" s="165">
        <f t="shared" si="18"/>
        <v>1117.7</v>
      </c>
      <c r="F47" s="165">
        <f t="shared" si="18"/>
        <v>9972</v>
      </c>
      <c r="G47" s="165">
        <f t="shared" si="18"/>
        <v>12000</v>
      </c>
      <c r="H47" s="165">
        <f t="shared" si="18"/>
        <v>3875.5</v>
      </c>
      <c r="I47" s="165">
        <f t="shared" si="18"/>
        <v>8042.5</v>
      </c>
      <c r="J47" s="165">
        <f t="shared" si="18"/>
        <v>4857.2999999999993</v>
      </c>
      <c r="K47" s="165">
        <f t="shared" si="18"/>
        <v>11795.1</v>
      </c>
    </row>
    <row r="48" spans="1:11" ht="15.75" customHeight="1">
      <c r="A48" s="146" t="s">
        <v>230</v>
      </c>
      <c r="B48" s="169">
        <v>2311.3000000000002</v>
      </c>
      <c r="C48" s="169">
        <v>2306.6</v>
      </c>
      <c r="D48" s="169">
        <v>195.4</v>
      </c>
      <c r="E48" s="169">
        <v>214.3</v>
      </c>
      <c r="F48" s="169">
        <v>412</v>
      </c>
      <c r="G48" s="169">
        <v>398</v>
      </c>
      <c r="H48" s="169">
        <v>1742.5</v>
      </c>
      <c r="I48" s="169">
        <v>1930.5</v>
      </c>
      <c r="J48" s="175">
        <v>3368.5</v>
      </c>
      <c r="K48" s="175">
        <v>3328</v>
      </c>
    </row>
    <row r="49" spans="1:11" ht="15.75" customHeight="1">
      <c r="A49" s="146" t="s">
        <v>231</v>
      </c>
      <c r="B49" s="165">
        <f t="shared" ref="B49:K49" si="19">B19+B50</f>
        <v>52023.7</v>
      </c>
      <c r="C49" s="165">
        <f t="shared" si="19"/>
        <v>48970.3</v>
      </c>
      <c r="D49" s="165">
        <f t="shared" si="19"/>
        <v>94774.9</v>
      </c>
      <c r="E49" s="165">
        <f t="shared" si="19"/>
        <v>97877</v>
      </c>
      <c r="F49" s="165">
        <f t="shared" si="19"/>
        <v>99695</v>
      </c>
      <c r="G49" s="165">
        <f t="shared" si="19"/>
        <v>128465</v>
      </c>
      <c r="H49" s="165">
        <f t="shared" si="19"/>
        <v>54089.599999999999</v>
      </c>
      <c r="I49" s="165">
        <f t="shared" si="19"/>
        <v>63265.2</v>
      </c>
      <c r="J49" s="165">
        <f t="shared" si="19"/>
        <v>39291.799999999996</v>
      </c>
      <c r="K49" s="165">
        <f t="shared" si="19"/>
        <v>44858.200000000004</v>
      </c>
    </row>
    <row r="50" spans="1:11" ht="15.75" customHeight="1">
      <c r="A50" s="146" t="s">
        <v>232</v>
      </c>
      <c r="B50" s="163">
        <v>15549.8</v>
      </c>
      <c r="C50" s="163">
        <v>10201.799999999999</v>
      </c>
      <c r="D50" s="163">
        <v>11578.7</v>
      </c>
      <c r="E50" s="163">
        <v>11141.3</v>
      </c>
      <c r="F50" s="163">
        <v>6004</v>
      </c>
      <c r="G50" s="163">
        <v>24304</v>
      </c>
      <c r="H50" s="163">
        <v>28880.5</v>
      </c>
      <c r="I50" s="163">
        <v>33243</v>
      </c>
      <c r="J50" s="164">
        <v>6008.6</v>
      </c>
      <c r="K50" s="164">
        <v>6411.4</v>
      </c>
    </row>
    <row r="51" spans="1:11" ht="15.75" customHeight="1">
      <c r="A51" s="146" t="s">
        <v>233</v>
      </c>
      <c r="B51" s="176">
        <f t="shared" ref="B51:K51" si="20">B5/SUM(B52:B54)</f>
        <v>0.60278936686348272</v>
      </c>
      <c r="C51" s="177">
        <f t="shared" si="20"/>
        <v>0.96934264434651629</v>
      </c>
      <c r="D51" s="178">
        <f t="shared" si="20"/>
        <v>2.0036672254819781</v>
      </c>
      <c r="E51" s="178">
        <f t="shared" si="20"/>
        <v>3.6289299421321615</v>
      </c>
      <c r="F51" s="178">
        <f t="shared" si="20"/>
        <v>0.69887780402738942</v>
      </c>
      <c r="G51" s="178">
        <f t="shared" si="20"/>
        <v>0.64388746707340461</v>
      </c>
      <c r="H51" s="178">
        <f t="shared" si="20"/>
        <v>0.58510468581492847</v>
      </c>
      <c r="I51" s="178">
        <f t="shared" si="20"/>
        <v>0.75245534867847252</v>
      </c>
      <c r="J51" s="178">
        <f t="shared" si="20"/>
        <v>1.2059817024640715</v>
      </c>
      <c r="K51" s="178">
        <f t="shared" si="20"/>
        <v>1.8892323641930149</v>
      </c>
    </row>
    <row r="52" spans="1:11" ht="15.75" customHeight="1">
      <c r="A52" s="146" t="s">
        <v>234</v>
      </c>
      <c r="B52" s="169">
        <v>32706</v>
      </c>
      <c r="C52" s="169">
        <v>32127.7</v>
      </c>
      <c r="D52" s="163">
        <f>1015.1+278.3</f>
        <v>1293.4000000000001</v>
      </c>
      <c r="E52" s="146">
        <f>1046.2+247.3</f>
        <v>1293.5</v>
      </c>
      <c r="F52" s="163">
        <v>2067.31</v>
      </c>
      <c r="G52" s="163">
        <v>1973.3</v>
      </c>
      <c r="H52" s="163">
        <v>29447.200000000001</v>
      </c>
      <c r="I52" s="163">
        <v>51776.7</v>
      </c>
      <c r="J52" s="164">
        <v>36982.6</v>
      </c>
      <c r="K52" s="164">
        <v>36204.6</v>
      </c>
    </row>
    <row r="53" spans="1:11" ht="15.75" customHeight="1">
      <c r="A53" s="146" t="s">
        <v>235</v>
      </c>
      <c r="B53" s="169">
        <v>1726.4</v>
      </c>
      <c r="C53" s="169">
        <v>1739</v>
      </c>
      <c r="D53" s="163">
        <v>2292.5</v>
      </c>
      <c r="E53" s="146">
        <v>3394.9</v>
      </c>
      <c r="F53" s="163">
        <v>19797.3</v>
      </c>
      <c r="G53" s="163">
        <v>32974</v>
      </c>
      <c r="H53" s="163">
        <v>17017.099999999999</v>
      </c>
      <c r="I53" s="163">
        <v>424.4</v>
      </c>
      <c r="J53" s="164">
        <v>571.29999999999995</v>
      </c>
      <c r="K53" s="164">
        <v>824.1</v>
      </c>
    </row>
    <row r="54" spans="1:11" ht="15.75" customHeight="1">
      <c r="A54" s="146" t="s">
        <v>236</v>
      </c>
      <c r="B54" s="169">
        <f>8607.7+367.6</f>
        <v>8975.3000000000011</v>
      </c>
      <c r="C54" s="169">
        <f>8387.3+362.2</f>
        <v>8749.5</v>
      </c>
      <c r="D54" s="163">
        <v>231.7</v>
      </c>
      <c r="E54" s="146">
        <v>340.3</v>
      </c>
      <c r="F54" s="163">
        <v>8049.06</v>
      </c>
      <c r="G54" s="163">
        <v>7799.3</v>
      </c>
      <c r="H54" s="163">
        <v>547.79999999999995</v>
      </c>
      <c r="I54" s="163">
        <v>540.9</v>
      </c>
      <c r="J54" s="164">
        <v>14</v>
      </c>
      <c r="K54" s="164">
        <v>11</v>
      </c>
    </row>
    <row r="55" spans="1:11" ht="15.75" customHeight="1">
      <c r="A55" s="146" t="s">
        <v>237</v>
      </c>
      <c r="B55" s="167">
        <f t="shared" ref="B55:K55" si="21">B20/B19</f>
        <v>0.28107770213769295</v>
      </c>
      <c r="C55" s="167">
        <f t="shared" si="21"/>
        <v>0.33933734862065851</v>
      </c>
      <c r="D55" s="168">
        <f t="shared" si="21"/>
        <v>0.54849380139958315</v>
      </c>
      <c r="E55" s="168">
        <f t="shared" si="21"/>
        <v>0.59604292119623181</v>
      </c>
      <c r="F55" s="168">
        <f t="shared" si="21"/>
        <v>0.16370836046151713</v>
      </c>
      <c r="G55" s="168">
        <f t="shared" si="21"/>
        <v>0.2741429133744876</v>
      </c>
      <c r="H55" s="168">
        <f t="shared" si="21"/>
        <v>1.0985120452534998</v>
      </c>
      <c r="I55" s="168">
        <f t="shared" si="21"/>
        <v>1.0217572329809275</v>
      </c>
      <c r="J55" s="168">
        <f t="shared" si="21"/>
        <v>0.46134686568599176</v>
      </c>
      <c r="K55" s="168">
        <f t="shared" si="21"/>
        <v>0.40852554698960641</v>
      </c>
    </row>
    <row r="56" spans="1:11" ht="15.75" customHeight="1">
      <c r="A56" s="146" t="s">
        <v>238</v>
      </c>
      <c r="B56" s="167">
        <f t="shared" ref="B56:K56" si="22">(B20-B32)/B19</f>
        <v>0.26722121846032371</v>
      </c>
      <c r="C56" s="167">
        <f t="shared" si="22"/>
        <v>0.33035583011981373</v>
      </c>
      <c r="D56" s="168">
        <f t="shared" si="22"/>
        <v>0.51619545123455157</v>
      </c>
      <c r="E56" s="168">
        <f t="shared" si="22"/>
        <v>0.57539629010891702</v>
      </c>
      <c r="F56" s="168">
        <f t="shared" si="22"/>
        <v>0.15528706065684003</v>
      </c>
      <c r="G56" s="168">
        <f t="shared" si="22"/>
        <v>0.26225746680619427</v>
      </c>
      <c r="H56" s="168">
        <f t="shared" si="22"/>
        <v>1.0961398859935501</v>
      </c>
      <c r="I56" s="168">
        <f t="shared" si="22"/>
        <v>1.0187994217612302</v>
      </c>
      <c r="J56" s="168">
        <f t="shared" si="22"/>
        <v>0.431704283241996</v>
      </c>
      <c r="K56" s="168">
        <f t="shared" si="22"/>
        <v>0.33802553138362618</v>
      </c>
    </row>
    <row r="57" spans="1:11" ht="15.75" customHeight="1">
      <c r="A57" s="146" t="s">
        <v>239</v>
      </c>
      <c r="B57" s="179">
        <f t="shared" ref="B57:K57" si="23">B58/B59</f>
        <v>-0.10466760961810467</v>
      </c>
      <c r="C57" s="167">
        <f t="shared" si="23"/>
        <v>4.0992717516289776</v>
      </c>
      <c r="D57" s="168">
        <f t="shared" si="23"/>
        <v>-1.9092286054311371</v>
      </c>
      <c r="E57" s="168">
        <f t="shared" si="23"/>
        <v>0.66736326725579176</v>
      </c>
      <c r="F57" s="168">
        <f t="shared" si="23"/>
        <v>13.114495383887004</v>
      </c>
      <c r="G57" s="168">
        <f t="shared" si="23"/>
        <v>13.948622573520865</v>
      </c>
      <c r="H57" s="168">
        <f t="shared" si="23"/>
        <v>3.0136080870917574</v>
      </c>
      <c r="I57" s="168">
        <f t="shared" si="23"/>
        <v>6.0983469821049443</v>
      </c>
      <c r="J57" s="168">
        <f t="shared" si="23"/>
        <v>6.7359589516017184</v>
      </c>
      <c r="K57" s="168">
        <f t="shared" si="23"/>
        <v>13.678650121767367</v>
      </c>
    </row>
    <row r="58" spans="1:11" ht="15.75" customHeight="1">
      <c r="A58" s="146" t="s">
        <v>229</v>
      </c>
      <c r="B58" s="169">
        <f t="shared" ref="B58:K58" si="24">B47</f>
        <v>-74</v>
      </c>
      <c r="C58" s="169">
        <f t="shared" si="24"/>
        <v>2139.0000000000005</v>
      </c>
      <c r="D58" s="169">
        <f t="shared" si="24"/>
        <v>-3529.4</v>
      </c>
      <c r="E58" s="169">
        <f t="shared" si="24"/>
        <v>1117.7</v>
      </c>
      <c r="F58" s="169">
        <f t="shared" si="24"/>
        <v>9972</v>
      </c>
      <c r="G58" s="169">
        <f t="shared" si="24"/>
        <v>12000</v>
      </c>
      <c r="H58" s="169">
        <f t="shared" si="24"/>
        <v>3875.5</v>
      </c>
      <c r="I58" s="169">
        <f t="shared" si="24"/>
        <v>8042.5</v>
      </c>
      <c r="J58" s="169">
        <f t="shared" si="24"/>
        <v>4857.2999999999993</v>
      </c>
      <c r="K58" s="169">
        <f t="shared" si="24"/>
        <v>11795.1</v>
      </c>
    </row>
    <row r="59" spans="1:11" ht="15.75" customHeight="1">
      <c r="A59" s="146" t="s">
        <v>48</v>
      </c>
      <c r="B59" s="169">
        <v>707</v>
      </c>
      <c r="C59" s="169">
        <v>521.79999999999995</v>
      </c>
      <c r="D59" s="163">
        <v>1848.6</v>
      </c>
      <c r="E59" s="163">
        <v>1674.8</v>
      </c>
      <c r="F59" s="163">
        <v>760.38</v>
      </c>
      <c r="G59" s="163">
        <v>860.3</v>
      </c>
      <c r="H59" s="169">
        <v>1286</v>
      </c>
      <c r="I59" s="163">
        <v>1318.8</v>
      </c>
      <c r="J59" s="164">
        <v>721.1</v>
      </c>
      <c r="K59" s="164">
        <v>862.3</v>
      </c>
    </row>
    <row r="60" spans="1:11" ht="15.75" customHeight="1">
      <c r="A60" s="180" t="s">
        <v>240</v>
      </c>
      <c r="B60" s="181">
        <f t="shared" ref="B60:K60" si="25">B59/B20</f>
        <v>6.8962153726102218E-2</v>
      </c>
      <c r="C60" s="182">
        <f t="shared" si="25"/>
        <v>3.9663717352306241E-2</v>
      </c>
      <c r="D60" s="183">
        <f t="shared" si="25"/>
        <v>4.0510512221525838E-2</v>
      </c>
      <c r="E60" s="183">
        <f t="shared" si="25"/>
        <v>3.2395712036395852E-2</v>
      </c>
      <c r="F60" s="183">
        <f t="shared" si="25"/>
        <v>4.9574911983309426E-2</v>
      </c>
      <c r="G60" s="183">
        <f t="shared" si="25"/>
        <v>3.0127823498511643E-2</v>
      </c>
      <c r="H60" s="183">
        <f t="shared" si="25"/>
        <v>4.6438566398844451E-2</v>
      </c>
      <c r="I60" s="183">
        <f t="shared" si="25"/>
        <v>4.2992104422436214E-2</v>
      </c>
      <c r="J60" s="183">
        <f t="shared" si="25"/>
        <v>4.6961595821583706E-2</v>
      </c>
      <c r="K60" s="183">
        <f t="shared" si="25"/>
        <v>5.4900837232992709E-2</v>
      </c>
    </row>
    <row r="61" spans="1:11" ht="15.75" customHeight="1"/>
    <row r="62" spans="1:11" ht="15.75" customHeight="1">
      <c r="A62" s="148" t="s">
        <v>241</v>
      </c>
    </row>
    <row r="63" spans="1:11" ht="15.75" customHeight="1">
      <c r="A63" s="20" t="s">
        <v>233</v>
      </c>
      <c r="B63" s="20" t="s">
        <v>242</v>
      </c>
      <c r="E63" s="184"/>
      <c r="F63" s="184"/>
    </row>
    <row r="64" spans="1:11" ht="15.75" customHeight="1">
      <c r="A64" s="20" t="s">
        <v>243</v>
      </c>
      <c r="B64" s="20" t="s">
        <v>244</v>
      </c>
    </row>
    <row r="65" spans="1:2" ht="15.75" customHeight="1">
      <c r="A65" s="20" t="s">
        <v>131</v>
      </c>
      <c r="B65" s="20" t="s">
        <v>245</v>
      </c>
    </row>
    <row r="66" spans="1:2" ht="15.75" customHeight="1">
      <c r="A66" s="20" t="s">
        <v>231</v>
      </c>
      <c r="B66" s="20" t="s">
        <v>246</v>
      </c>
    </row>
    <row r="67" spans="1:2" ht="15.75" customHeight="1">
      <c r="A67" s="20" t="s">
        <v>229</v>
      </c>
      <c r="B67" s="20" t="s">
        <v>247</v>
      </c>
    </row>
    <row r="68" spans="1:2" ht="15.75" customHeight="1">
      <c r="A68" s="20" t="s">
        <v>228</v>
      </c>
      <c r="B68" s="20" t="s">
        <v>248</v>
      </c>
    </row>
    <row r="69" spans="1:2" ht="15.75" customHeight="1">
      <c r="A69" s="20" t="s">
        <v>249</v>
      </c>
      <c r="B69" s="20" t="s">
        <v>250</v>
      </c>
    </row>
    <row r="70" spans="1:2" ht="15.75" customHeight="1">
      <c r="A70" s="20" t="s">
        <v>251</v>
      </c>
      <c r="B70" s="20" t="s">
        <v>252</v>
      </c>
    </row>
    <row r="71" spans="1:2" ht="15.75" customHeight="1">
      <c r="A71" s="20" t="s">
        <v>253</v>
      </c>
      <c r="B71" s="20" t="s">
        <v>254</v>
      </c>
    </row>
    <row r="72" spans="1:2" ht="15.75" customHeight="1">
      <c r="A72" s="20" t="s">
        <v>255</v>
      </c>
      <c r="B72" s="20" t="s">
        <v>256</v>
      </c>
    </row>
    <row r="73" spans="1:2" ht="15.75" customHeight="1">
      <c r="A73" s="20" t="s">
        <v>239</v>
      </c>
      <c r="B73" s="20" t="s">
        <v>257</v>
      </c>
    </row>
    <row r="74" spans="1:2" ht="15.75" customHeight="1">
      <c r="A74" s="20" t="s">
        <v>240</v>
      </c>
      <c r="B74" s="20" t="s">
        <v>258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dcterms:created xsi:type="dcterms:W3CDTF">2017-09-19T08:05:47Z</dcterms:created>
  <dcterms:modified xsi:type="dcterms:W3CDTF">2026-02-02T11:51:44Z</dcterms:modified>
</cp:coreProperties>
</file>