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28" i="1" l="1"/>
  <c r="J28" i="1"/>
  <c r="K22" i="1"/>
  <c r="W64" i="1"/>
  <c r="J58" i="1" l="1"/>
  <c r="J59" i="1" s="1"/>
  <c r="J41" i="1" l="1"/>
  <c r="K41" i="1"/>
  <c r="K7" i="1" l="1"/>
  <c r="K52" i="1" l="1"/>
  <c r="K54" i="1"/>
  <c r="K53" i="1"/>
  <c r="K45" i="1"/>
  <c r="J45" i="1"/>
  <c r="I41" i="1"/>
  <c r="W37" i="1"/>
  <c r="W21" i="1"/>
  <c r="W15" i="1" s="1"/>
  <c r="W35" i="1"/>
  <c r="W24" i="1"/>
  <c r="W10" i="1"/>
  <c r="W4" i="1"/>
  <c r="W6" i="1" s="1"/>
  <c r="K17" i="1"/>
  <c r="V54" i="1"/>
  <c r="U54" i="1"/>
  <c r="U69" i="1"/>
  <c r="T69" i="1"/>
  <c r="S69" i="1"/>
  <c r="R69" i="1"/>
  <c r="Q69" i="1"/>
  <c r="P69" i="1"/>
  <c r="O69" i="1"/>
  <c r="U65" i="1"/>
  <c r="T65" i="1"/>
  <c r="S65" i="1"/>
  <c r="R65" i="1"/>
  <c r="Q65" i="1"/>
  <c r="P65" i="1"/>
  <c r="O65" i="1"/>
  <c r="V64" i="1"/>
  <c r="U64" i="1"/>
  <c r="U57" i="1"/>
  <c r="T54" i="1"/>
  <c r="S54" i="1"/>
  <c r="R54" i="1"/>
  <c r="Q54" i="1"/>
  <c r="P54" i="1"/>
  <c r="O54" i="1"/>
  <c r="J54" i="1"/>
  <c r="I54" i="1"/>
  <c r="H54" i="1"/>
  <c r="G54" i="1"/>
  <c r="F54" i="1"/>
  <c r="E54" i="1"/>
  <c r="D54" i="1"/>
  <c r="C54" i="1"/>
  <c r="T53" i="1"/>
  <c r="T64" i="1" s="1"/>
  <c r="S53" i="1"/>
  <c r="S64" i="1" s="1"/>
  <c r="R53" i="1"/>
  <c r="R64" i="1" s="1"/>
  <c r="Q53" i="1"/>
  <c r="Q64" i="1" s="1"/>
  <c r="P53" i="1"/>
  <c r="P64" i="1" s="1"/>
  <c r="O53" i="1"/>
  <c r="O64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F46" i="1"/>
  <c r="E46" i="1"/>
  <c r="D46" i="1"/>
  <c r="C46" i="1"/>
  <c r="I45" i="1"/>
  <c r="H45" i="1"/>
  <c r="H47" i="1" s="1"/>
  <c r="G45" i="1"/>
  <c r="F45" i="1"/>
  <c r="E45" i="1"/>
  <c r="D45" i="1"/>
  <c r="C45" i="1"/>
  <c r="I42" i="1"/>
  <c r="J37" i="1" s="1"/>
  <c r="J42" i="1" s="1"/>
  <c r="K37" i="1" s="1"/>
  <c r="K42" i="1" s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V38" i="1"/>
  <c r="V37" i="1"/>
  <c r="V35" i="1" s="1"/>
  <c r="S37" i="1"/>
  <c r="S35" i="1" s="1"/>
  <c r="R37" i="1"/>
  <c r="R35" i="1" s="1"/>
  <c r="Q37" i="1"/>
  <c r="U35" i="1"/>
  <c r="T35" i="1"/>
  <c r="Q35" i="1"/>
  <c r="P35" i="1"/>
  <c r="O35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V24" i="1"/>
  <c r="U24" i="1"/>
  <c r="U43" i="1" s="1"/>
  <c r="T24" i="1"/>
  <c r="S24" i="1"/>
  <c r="R24" i="1"/>
  <c r="R43" i="1" s="1"/>
  <c r="Q24" i="1"/>
  <c r="P24" i="1"/>
  <c r="O24" i="1"/>
  <c r="J22" i="1"/>
  <c r="J19" i="1"/>
  <c r="J18" i="1"/>
  <c r="V16" i="1"/>
  <c r="J46" i="1" s="1"/>
  <c r="U15" i="1"/>
  <c r="T15" i="1"/>
  <c r="S15" i="1"/>
  <c r="R15" i="1"/>
  <c r="Q15" i="1"/>
  <c r="Q48" i="1" s="1"/>
  <c r="Q12" i="1" s="1"/>
  <c r="P15" i="1"/>
  <c r="P48" i="1" s="1"/>
  <c r="P12" i="1" s="1"/>
  <c r="O15" i="1"/>
  <c r="J13" i="1"/>
  <c r="J12" i="1"/>
  <c r="J11" i="1"/>
  <c r="V10" i="1"/>
  <c r="U10" i="1"/>
  <c r="T10" i="1"/>
  <c r="H52" i="1" s="1"/>
  <c r="S10" i="1"/>
  <c r="G52" i="1" s="1"/>
  <c r="R10" i="1"/>
  <c r="Q10" i="1"/>
  <c r="P10" i="1"/>
  <c r="D52" i="1" s="1"/>
  <c r="O10" i="1"/>
  <c r="C52" i="1" s="1"/>
  <c r="J9" i="1"/>
  <c r="J8" i="1"/>
  <c r="I7" i="1"/>
  <c r="U66" i="1" s="1"/>
  <c r="H7" i="1"/>
  <c r="G7" i="1"/>
  <c r="F7" i="1"/>
  <c r="R67" i="1" s="1"/>
  <c r="E7" i="1"/>
  <c r="D7" i="1"/>
  <c r="C7" i="1"/>
  <c r="U6" i="1"/>
  <c r="T6" i="1"/>
  <c r="S6" i="1"/>
  <c r="S11" i="1" s="1"/>
  <c r="R6" i="1"/>
  <c r="Q6" i="1"/>
  <c r="P6" i="1"/>
  <c r="O6" i="1"/>
  <c r="O11" i="1" s="1"/>
  <c r="I6" i="1"/>
  <c r="H6" i="1"/>
  <c r="G6" i="1"/>
  <c r="F6" i="1"/>
  <c r="V5" i="1"/>
  <c r="I5" i="1"/>
  <c r="H5" i="1"/>
  <c r="G5" i="1"/>
  <c r="F5" i="1"/>
  <c r="E5" i="1"/>
  <c r="D5" i="1"/>
  <c r="V4" i="1"/>
  <c r="J4" i="1"/>
  <c r="W43" i="1" l="1"/>
  <c r="K46" i="1"/>
  <c r="K47" i="1" s="1"/>
  <c r="I47" i="1"/>
  <c r="C47" i="1"/>
  <c r="D47" i="1"/>
  <c r="J7" i="1"/>
  <c r="R48" i="1"/>
  <c r="R12" i="1" s="1"/>
  <c r="E47" i="1"/>
  <c r="F47" i="1"/>
  <c r="G47" i="1"/>
  <c r="V57" i="1"/>
  <c r="W54" i="1"/>
  <c r="W57" i="1" s="1"/>
  <c r="K55" i="1"/>
  <c r="W11" i="1"/>
  <c r="W55" i="1"/>
  <c r="W58" i="1" s="1"/>
  <c r="W63" i="1"/>
  <c r="W62" i="1"/>
  <c r="V69" i="1"/>
  <c r="S66" i="1"/>
  <c r="S48" i="1"/>
  <c r="S12" i="1" s="1"/>
  <c r="T48" i="1"/>
  <c r="T12" i="1" s="1"/>
  <c r="Q66" i="1"/>
  <c r="W48" i="1"/>
  <c r="W12" i="1" s="1"/>
  <c r="W49" i="1"/>
  <c r="K21" i="1"/>
  <c r="V67" i="1"/>
  <c r="V66" i="1"/>
  <c r="V43" i="1"/>
  <c r="E71" i="1"/>
  <c r="V6" i="1"/>
  <c r="V63" i="1" s="1"/>
  <c r="V65" i="1"/>
  <c r="J14" i="1"/>
  <c r="J5" i="1"/>
  <c r="J6" i="1"/>
  <c r="Q55" i="1"/>
  <c r="Q58" i="1" s="1"/>
  <c r="Q11" i="1"/>
  <c r="R11" i="1"/>
  <c r="R55" i="1"/>
  <c r="R58" i="1" s="1"/>
  <c r="U55" i="1"/>
  <c r="U58" i="1" s="1"/>
  <c r="U11" i="1"/>
  <c r="O66" i="1"/>
  <c r="O67" i="1"/>
  <c r="C14" i="1"/>
  <c r="C17" i="1" s="1"/>
  <c r="E52" i="1"/>
  <c r="E55" i="1" s="1"/>
  <c r="Q63" i="1"/>
  <c r="Q62" i="1"/>
  <c r="I52" i="1"/>
  <c r="I55" i="1" s="1"/>
  <c r="U63" i="1"/>
  <c r="U62" i="1"/>
  <c r="D71" i="1"/>
  <c r="P43" i="1"/>
  <c r="H71" i="1"/>
  <c r="T43" i="1"/>
  <c r="O49" i="1"/>
  <c r="Q49" i="1"/>
  <c r="U49" i="1"/>
  <c r="S49" i="1"/>
  <c r="D55" i="1"/>
  <c r="H55" i="1"/>
  <c r="Q57" i="1"/>
  <c r="R57" i="1"/>
  <c r="O48" i="1"/>
  <c r="O12" i="1" s="1"/>
  <c r="U48" i="1"/>
  <c r="U12" i="1" s="1"/>
  <c r="G14" i="1"/>
  <c r="G17" i="1" s="1"/>
  <c r="R66" i="1"/>
  <c r="R68" i="1" s="1"/>
  <c r="S67" i="1"/>
  <c r="S68" i="1" s="1"/>
  <c r="J52" i="1"/>
  <c r="J55" i="1" s="1"/>
  <c r="V62" i="1"/>
  <c r="J47" i="1"/>
  <c r="V15" i="1"/>
  <c r="V48" i="1" s="1"/>
  <c r="V12" i="1" s="1"/>
  <c r="O43" i="1"/>
  <c r="C71" i="1"/>
  <c r="P66" i="1"/>
  <c r="P67" i="1"/>
  <c r="D14" i="1"/>
  <c r="T66" i="1"/>
  <c r="T67" i="1"/>
  <c r="H14" i="1"/>
  <c r="P11" i="1"/>
  <c r="P55" i="1"/>
  <c r="P49" i="1"/>
  <c r="T11" i="1"/>
  <c r="T49" i="1"/>
  <c r="T55" i="1"/>
  <c r="T58" i="1" s="1"/>
  <c r="P63" i="1"/>
  <c r="T63" i="1"/>
  <c r="R49" i="1"/>
  <c r="F71" i="1"/>
  <c r="F52" i="1"/>
  <c r="F55" i="1" s="1"/>
  <c r="R63" i="1"/>
  <c r="R62" i="1"/>
  <c r="S43" i="1"/>
  <c r="G71" i="1"/>
  <c r="C55" i="1"/>
  <c r="G55" i="1"/>
  <c r="Q43" i="1"/>
  <c r="R71" i="1" s="1"/>
  <c r="O55" i="1"/>
  <c r="O58" i="1" s="1"/>
  <c r="S55" i="1"/>
  <c r="S58" i="1" s="1"/>
  <c r="O57" i="1"/>
  <c r="S57" i="1"/>
  <c r="E14" i="1"/>
  <c r="I14" i="1"/>
  <c r="P57" i="1"/>
  <c r="T57" i="1"/>
  <c r="P58" i="1"/>
  <c r="O62" i="1"/>
  <c r="S62" i="1"/>
  <c r="O63" i="1"/>
  <c r="S63" i="1"/>
  <c r="Q67" i="1"/>
  <c r="Q68" i="1" s="1"/>
  <c r="U67" i="1"/>
  <c r="U68" i="1" s="1"/>
  <c r="F14" i="1"/>
  <c r="P62" i="1"/>
  <c r="T62" i="1"/>
  <c r="O68" i="1" l="1"/>
  <c r="C21" i="1"/>
  <c r="T71" i="1"/>
  <c r="T68" i="1"/>
  <c r="V55" i="1"/>
  <c r="V58" i="1" s="1"/>
  <c r="S71" i="1"/>
  <c r="V49" i="1"/>
  <c r="K23" i="1"/>
  <c r="V68" i="1"/>
  <c r="G16" i="1"/>
  <c r="S59" i="1"/>
  <c r="O59" i="1"/>
  <c r="V11" i="1"/>
  <c r="T59" i="1"/>
  <c r="V59" i="1"/>
  <c r="U59" i="1"/>
  <c r="G15" i="1"/>
  <c r="G21" i="1"/>
  <c r="S61" i="1" s="1"/>
  <c r="J21" i="1"/>
  <c r="J16" i="1"/>
  <c r="J15" i="1"/>
  <c r="J17" i="1"/>
  <c r="Q71" i="1"/>
  <c r="E17" i="1"/>
  <c r="E21" i="1"/>
  <c r="E15" i="1"/>
  <c r="O61" i="1"/>
  <c r="C23" i="1"/>
  <c r="Q59" i="1"/>
  <c r="D17" i="1"/>
  <c r="D21" i="1"/>
  <c r="D15" i="1"/>
  <c r="O71" i="1"/>
  <c r="P71" i="1"/>
  <c r="F21" i="1"/>
  <c r="F16" i="1"/>
  <c r="F15" i="1"/>
  <c r="F17" i="1"/>
  <c r="R59" i="1"/>
  <c r="I17" i="1"/>
  <c r="I21" i="1"/>
  <c r="I16" i="1"/>
  <c r="I15" i="1"/>
  <c r="H17" i="1"/>
  <c r="H21" i="1"/>
  <c r="H16" i="1"/>
  <c r="H15" i="1"/>
  <c r="P68" i="1"/>
  <c r="P59" i="1"/>
  <c r="K26" i="1" l="1"/>
  <c r="W60" i="1"/>
  <c r="J23" i="1"/>
  <c r="V61" i="1"/>
  <c r="G23" i="1"/>
  <c r="S60" i="1" s="1"/>
  <c r="H23" i="1"/>
  <c r="T61" i="1"/>
  <c r="I23" i="1"/>
  <c r="U61" i="1"/>
  <c r="E23" i="1"/>
  <c r="Q61" i="1"/>
  <c r="C28" i="1"/>
  <c r="O60" i="1"/>
  <c r="C26" i="1"/>
  <c r="R61" i="1"/>
  <c r="F23" i="1"/>
  <c r="D23" i="1"/>
  <c r="P61" i="1"/>
  <c r="G26" i="1" l="1"/>
  <c r="G28" i="1"/>
  <c r="G24" i="1"/>
  <c r="V60" i="1"/>
  <c r="J30" i="1"/>
  <c r="J25" i="1"/>
  <c r="J26" i="1"/>
  <c r="J24" i="1"/>
  <c r="I26" i="1"/>
  <c r="I25" i="1"/>
  <c r="U60" i="1"/>
  <c r="I24" i="1"/>
  <c r="I28" i="1"/>
  <c r="E26" i="1"/>
  <c r="Q60" i="1"/>
  <c r="E24" i="1"/>
  <c r="E28" i="1"/>
  <c r="R60" i="1"/>
  <c r="F24" i="1"/>
  <c r="F28" i="1"/>
  <c r="G29" i="1" s="1"/>
  <c r="F26" i="1"/>
  <c r="F25" i="1"/>
  <c r="D28" i="1"/>
  <c r="D29" i="1" s="1"/>
  <c r="D26" i="1"/>
  <c r="P60" i="1"/>
  <c r="D24" i="1"/>
  <c r="G25" i="1"/>
  <c r="H28" i="1"/>
  <c r="H26" i="1"/>
  <c r="H25" i="1"/>
  <c r="T60" i="1"/>
  <c r="H24" i="1"/>
  <c r="J29" i="1" l="1"/>
  <c r="E29" i="1"/>
  <c r="F30" i="1"/>
  <c r="F29" i="1"/>
  <c r="G30" i="1"/>
  <c r="H30" i="1"/>
  <c r="H29" i="1"/>
  <c r="I29" i="1"/>
  <c r="I30" i="1"/>
</calcChain>
</file>

<file path=xl/sharedStrings.xml><?xml version="1.0" encoding="utf-8"?>
<sst xmlns="http://schemas.openxmlformats.org/spreadsheetml/2006/main" count="189" uniqueCount="120">
  <si>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</si>
  <si>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</si>
  <si>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</si>
  <si>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</si>
  <si>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</si>
  <si>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</si>
  <si>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</si>
  <si>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</si>
  <si>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</si>
  <si>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</si>
  <si>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</si>
  <si>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</si>
  <si>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</si>
  <si>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</si>
  <si>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</si>
  <si>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</si>
  <si>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</si>
  <si>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</si>
  <si>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</si>
  <si>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</si>
  <si>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</si>
  <si>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</si>
  <si>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</si>
  <si>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</si>
  <si>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</si>
  <si>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</si>
  <si>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</si>
  <si>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</si>
  <si>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</si>
  <si>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</si>
  <si>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</si>
  <si>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</si>
  <si>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</si>
  <si>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</si>
  <si>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</si>
  <si>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</si>
  <si>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</si>
  <si>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</si>
  <si>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</si>
  <si>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</si>
  <si>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</si>
  <si>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</si>
  <si>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(i) Loans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</si>
  <si>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</si>
  <si>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</si>
  <si>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</si>
  <si>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</si>
  <si>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</si>
  <si>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</si>
  <si>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</si>
  <si>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</si>
  <si>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</si>
  <si>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</si>
  <si>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</si>
  <si>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</si>
  <si>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</si>
  <si>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</si>
  <si>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</si>
  <si>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</si>
  <si>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</si>
  <si>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</si>
  <si>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</si>
  <si>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</si>
  <si>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</si>
  <si>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</si>
  <si>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</si>
  <si>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</si>
  <si>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</si>
  <si>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</si>
  <si>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</si>
  <si>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</si>
  <si>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</si>
  <si>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</si>
  <si>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</si>
  <si>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</si>
  <si>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</si>
  <si>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</si>
  <si>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</si>
  <si>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</si>
  <si>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</si>
  <si>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</si>
  <si>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</si>
  <si>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</si>
  <si>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</si>
  <si>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</si>
  <si>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</si>
  <si>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</si>
  <si>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</si>
  <si>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</si>
  <si>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</si>
  <si>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</si>
  <si>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</si>
  <si>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</si>
  <si>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</si>
  <si>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</si>
  <si>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</si>
  <si>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</si>
  <si>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</si>
  <si>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</si>
  <si>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</si>
  <si>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</si>
  <si>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</si>
  <si>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</si>
  <si>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</si>
  <si>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</si>
  <si>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</si>
  <si>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</si>
  <si>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</si>
  <si>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</si>
  <si>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</si>
  <si>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</si>
  <si>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</si>
  <si>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</si>
  <si>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</si>
  <si>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</si>
  <si>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</si>
  <si>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Q1-FY25</t>
  </si>
  <si>
    <t>H1-FY25</t>
  </si>
  <si>
    <t>TTM EPS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</si>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</sst>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2" fontId="5" fillId="0" borderId="1" xfId="0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0" fontId="0" fillId="0" borderId="5" xfId="0" applyBorder="1"/>
    <xf numFmtId="2" fontId="0" fillId="0" borderId="5" xfId="0" applyNumberFormat="1" applyBorder="1"/>
    <xf numFmtId="43" fontId="2" fillId="0" borderId="0" xfId="0" applyNumberFormat="1" applyFont="1"/>
    <xf numFmtId="2" fontId="5" fillId="0" borderId="1" xfId="0" applyNumberFormat="1" applyFon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43" fontId="2" fillId="3" borderId="1" xfId="0" applyNumberFormat="1" applyFont="1" applyFill="1" applyBorder="1"/>
    <xf numFmtId="43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0" fontId="2" fillId="3" borderId="1" xfId="0" applyFont="1" applyFill="1" applyBorder="1"/>
    <xf numFmtId="2" fontId="5" fillId="3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10" fontId="5" fillId="2" borderId="1" xfId="2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65" fontId="2" fillId="2" borderId="2" xfId="0" applyNumberFormat="1" applyFont="1" applyFill="1" applyBorder="1"/>
    <xf numFmtId="166" fontId="3" fillId="2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71"/>
  <sheetViews>
    <sheetView tabSelected="1" topLeftCell="B22" zoomScale="70" zoomScaleNormal="70" workbookViewId="0">
      <pane xSplit="1" topLeftCell="I1" activePane="topRight" state="frozen"/>
      <selection activeCell="B1" sqref="B1"/>
      <selection pane="topRight" activeCell="W54" sqref="W54"/>
    </sheetView>
  </sheetViews>
  <sheetFormatPr defaultRowHeight="14.4" x14ac:dyDescent="0.3"/>
  <cols>
    <col min="2" max="2" width="41.109375" customWidth="1"/>
    <col min="3" max="3" width="14.88671875" bestFit="1" customWidth="1"/>
    <col min="4" max="4" width="15.33203125" bestFit="1" customWidth="1"/>
    <col min="5" max="5" width="14.88671875" bestFit="1" customWidth="1"/>
    <col min="6" max="6" width="15.33203125" bestFit="1" customWidth="1"/>
    <col min="7" max="7" width="14.88671875" bestFit="1" customWidth="1"/>
    <col min="8" max="9" width="15.33203125" bestFit="1" customWidth="1"/>
    <col min="10" max="10" width="18" customWidth="1"/>
    <col min="11" max="11" width="15.33203125" customWidth="1"/>
    <col min="13" max="13" width="39.109375" customWidth="1"/>
    <col min="14" max="14" width="11.5546875" hidden="1" customWidth="1"/>
    <col min="15" max="15" width="15.5546875" customWidth="1"/>
    <col min="16" max="16" width="14.33203125" bestFit="1" customWidth="1"/>
    <col min="17" max="17" width="14.109375" customWidth="1"/>
    <col min="18" max="19" width="14.33203125" bestFit="1" customWidth="1"/>
    <col min="20" max="21" width="14.5546875" bestFit="1" customWidth="1"/>
    <col min="22" max="22" width="15.5546875" bestFit="1" customWidth="1"/>
    <col min="23" max="23" width="21.6640625" customWidth="1"/>
    <col min="24" max="24" width="10.88671875" customWidth="1"/>
  </cols>
  <sheetData>
    <row r="2" spans="2:23" x14ac:dyDescent="0.3">
      <c r="B2" s="99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M2" s="98" t="s">
        <v>1</v>
      </c>
      <c r="N2" s="98"/>
      <c r="O2" s="98"/>
      <c r="P2" s="98"/>
      <c r="Q2" s="98"/>
      <c r="R2" s="98"/>
      <c r="S2" s="98"/>
      <c r="T2" s="98"/>
      <c r="U2" s="98"/>
      <c r="V2" s="98"/>
    </row>
    <row r="3" spans="2:23" x14ac:dyDescent="0.3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119</v>
      </c>
      <c r="M3" s="1" t="s">
        <v>2</v>
      </c>
      <c r="N3" s="2" t="s">
        <v>11</v>
      </c>
      <c r="O3" s="2" t="s">
        <v>3</v>
      </c>
      <c r="P3" s="4" t="s">
        <v>4</v>
      </c>
      <c r="Q3" s="4" t="s">
        <v>5</v>
      </c>
      <c r="R3" s="4" t="s">
        <v>6</v>
      </c>
      <c r="S3" s="4" t="s">
        <v>7</v>
      </c>
      <c r="T3" s="4" t="s">
        <v>8</v>
      </c>
      <c r="U3" s="2" t="s">
        <v>9</v>
      </c>
      <c r="V3" s="4" t="s">
        <v>10</v>
      </c>
      <c r="W3" s="4" t="s">
        <v>117</v>
      </c>
    </row>
    <row r="4" spans="2:23" x14ac:dyDescent="0.3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85">
        <v>52872.046999999999</v>
      </c>
      <c r="J4" s="85">
        <f>525334.48/10</f>
        <v>52533.447999999997</v>
      </c>
      <c r="K4" s="87">
        <v>44843.557000000001</v>
      </c>
      <c r="M4" s="6" t="s">
        <v>13</v>
      </c>
      <c r="N4" s="6"/>
      <c r="O4" s="7">
        <v>965.02</v>
      </c>
      <c r="P4" s="7">
        <v>965.02</v>
      </c>
      <c r="Q4" s="7">
        <v>965.02</v>
      </c>
      <c r="R4" s="7">
        <v>964.36099999999999</v>
      </c>
      <c r="S4" s="7">
        <v>940.20699999999999</v>
      </c>
      <c r="T4" s="6">
        <v>376.08</v>
      </c>
      <c r="U4" s="68">
        <v>376.08</v>
      </c>
      <c r="V4" s="68">
        <f>3760.83/10</f>
        <v>376.08299999999997</v>
      </c>
      <c r="W4" s="70">
        <f>3760.83/10</f>
        <v>376.08299999999997</v>
      </c>
    </row>
    <row r="5" spans="2:23" x14ac:dyDescent="0.3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81">
        <f>I4/H4-1</f>
        <v>5.0654426847574818E-2</v>
      </c>
      <c r="J5" s="81">
        <f>J4/I4-1</f>
        <v>-6.4041212552259363E-3</v>
      </c>
      <c r="K5" s="9"/>
      <c r="M5" s="6" t="s">
        <v>15</v>
      </c>
      <c r="N5" s="6"/>
      <c r="O5" s="10">
        <v>4855.9830000000002</v>
      </c>
      <c r="P5" s="10">
        <v>5490.8879999999999</v>
      </c>
      <c r="Q5" s="10">
        <v>5459.2690000000002</v>
      </c>
      <c r="R5" s="10">
        <v>5768.41</v>
      </c>
      <c r="S5" s="10">
        <v>9708.241</v>
      </c>
      <c r="T5" s="6">
        <v>14780.24</v>
      </c>
      <c r="U5" s="69">
        <v>18062.580000000002</v>
      </c>
      <c r="V5" s="68">
        <f>198150.43/10</f>
        <v>19815.042999999998</v>
      </c>
      <c r="W5" s="70">
        <v>20622.364000000001</v>
      </c>
    </row>
    <row r="6" spans="2:23" x14ac:dyDescent="0.3">
      <c r="B6" s="8" t="s">
        <v>16</v>
      </c>
      <c r="C6" s="11"/>
      <c r="D6" s="11"/>
      <c r="E6" s="9"/>
      <c r="F6" s="9">
        <f>(F4/C4)^(1/3)-1</f>
        <v>-5.3842712061395126E-2</v>
      </c>
      <c r="G6" s="9">
        <f>(G4/D4)^(1/3)-1</f>
        <v>8.630110147204606E-3</v>
      </c>
      <c r="H6" s="9">
        <f>(H4/E4)^(1/3)-1</f>
        <v>0.16364158332634293</v>
      </c>
      <c r="I6" s="81">
        <f>(I4/F4)^(1/3)-1</f>
        <v>0.24736433039088257</v>
      </c>
      <c r="J6" s="81">
        <f>(J4/G4)^(1/3)-1</f>
        <v>0.18150166783026811</v>
      </c>
      <c r="K6" s="9"/>
      <c r="M6" s="12" t="s">
        <v>17</v>
      </c>
      <c r="N6" s="12"/>
      <c r="O6" s="13">
        <f t="shared" ref="O6:T6" si="1">O4+O5</f>
        <v>5821.0030000000006</v>
      </c>
      <c r="P6" s="13">
        <f t="shared" si="1"/>
        <v>6455.9079999999994</v>
      </c>
      <c r="Q6" s="13">
        <f t="shared" si="1"/>
        <v>6424.2890000000007</v>
      </c>
      <c r="R6" s="13">
        <f t="shared" si="1"/>
        <v>6732.7709999999997</v>
      </c>
      <c r="S6" s="13">
        <f t="shared" si="1"/>
        <v>10648.448</v>
      </c>
      <c r="T6" s="13">
        <f t="shared" si="1"/>
        <v>15156.32</v>
      </c>
      <c r="U6" s="39">
        <f>U4+U5</f>
        <v>18438.660000000003</v>
      </c>
      <c r="V6" s="39">
        <f>V4+V5</f>
        <v>20191.125999999997</v>
      </c>
      <c r="W6" s="39">
        <f>W4+W5</f>
        <v>20998.447</v>
      </c>
    </row>
    <row r="7" spans="2:23" x14ac:dyDescent="0.3">
      <c r="B7" s="12" t="s">
        <v>18</v>
      </c>
      <c r="C7" s="13">
        <f t="shared" ref="C7:G7" si="2">SUM(C8:C13)</f>
        <v>29190.2</v>
      </c>
      <c r="D7" s="13">
        <f t="shared" si="2"/>
        <v>29078.549999999996</v>
      </c>
      <c r="E7" s="13">
        <f t="shared" si="2"/>
        <v>31004.510000000002</v>
      </c>
      <c r="F7" s="13">
        <f t="shared" si="2"/>
        <v>25757.500000000004</v>
      </c>
      <c r="G7" s="13">
        <f t="shared" si="2"/>
        <v>25162.45</v>
      </c>
      <c r="H7" s="13">
        <f t="shared" ref="H7" si="3">SUM(H8:H13)</f>
        <v>41283.543999999994</v>
      </c>
      <c r="I7" s="77">
        <f>SUM(I8:I13)</f>
        <v>46299.122000000003</v>
      </c>
      <c r="J7" s="77">
        <f>SUM(J8:J13)</f>
        <v>47865.616999999998</v>
      </c>
      <c r="K7" s="77">
        <f>SUM(K8:K13)</f>
        <v>40963.692000000003</v>
      </c>
      <c r="M7" s="6" t="s">
        <v>19</v>
      </c>
      <c r="N7" s="6"/>
      <c r="O7" s="7"/>
      <c r="P7" s="7"/>
      <c r="Q7" s="7"/>
      <c r="R7" s="7"/>
      <c r="S7" s="7"/>
      <c r="T7" s="6"/>
      <c r="U7" s="70"/>
      <c r="V7" s="18"/>
      <c r="W7" s="18"/>
    </row>
    <row r="8" spans="2:23" x14ac:dyDescent="0.3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80">
        <v>32150.333999999999</v>
      </c>
      <c r="J8" s="80">
        <f>325515.98/10</f>
        <v>32551.597999999998</v>
      </c>
      <c r="K8" s="16">
        <v>28355.321</v>
      </c>
      <c r="M8" s="6" t="s">
        <v>21</v>
      </c>
      <c r="N8" s="6"/>
      <c r="O8" s="10"/>
      <c r="P8" s="10"/>
      <c r="Q8" s="10"/>
      <c r="R8" s="10"/>
      <c r="S8" s="10"/>
      <c r="T8" s="6"/>
      <c r="U8" s="70"/>
      <c r="V8" s="18"/>
      <c r="W8" s="18"/>
    </row>
    <row r="9" spans="2:23" x14ac:dyDescent="0.3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80">
        <v>11906.428</v>
      </c>
      <c r="J9" s="80">
        <f>119405.75/10</f>
        <v>11940.575000000001</v>
      </c>
      <c r="K9" s="16">
        <v>10081.030000000001</v>
      </c>
      <c r="M9" s="6" t="s">
        <v>23</v>
      </c>
      <c r="N9" s="6"/>
      <c r="O9" s="14"/>
      <c r="P9" s="14"/>
      <c r="Q9" s="14"/>
      <c r="R9" s="10"/>
      <c r="S9" s="10"/>
      <c r="T9" s="6"/>
      <c r="U9" s="70"/>
      <c r="V9" s="18"/>
      <c r="W9" s="18"/>
    </row>
    <row r="10" spans="2:23" x14ac:dyDescent="0.3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0">
        <v>0</v>
      </c>
      <c r="K10" s="16"/>
      <c r="M10" s="12" t="s">
        <v>25</v>
      </c>
      <c r="N10" s="12"/>
      <c r="O10" s="13">
        <f t="shared" ref="O10:V10" si="4">O8+O9</f>
        <v>0</v>
      </c>
      <c r="P10" s="13">
        <f t="shared" si="4"/>
        <v>0</v>
      </c>
      <c r="Q10" s="13">
        <f t="shared" si="4"/>
        <v>0</v>
      </c>
      <c r="R10" s="13">
        <f t="shared" si="4"/>
        <v>0</v>
      </c>
      <c r="S10" s="13">
        <f t="shared" si="4"/>
        <v>0</v>
      </c>
      <c r="T10" s="13">
        <f t="shared" si="4"/>
        <v>0</v>
      </c>
      <c r="U10" s="71">
        <f t="shared" si="4"/>
        <v>0</v>
      </c>
      <c r="V10" s="71">
        <f t="shared" si="4"/>
        <v>0</v>
      </c>
      <c r="W10" s="71">
        <f t="shared" ref="W10" si="5">W8+W9</f>
        <v>0</v>
      </c>
    </row>
    <row r="11" spans="2:23" x14ac:dyDescent="0.3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80">
        <v>-1058.615</v>
      </c>
      <c r="J11" s="80">
        <f>-614.54/10</f>
        <v>-61.453999999999994</v>
      </c>
      <c r="K11" s="16">
        <v>-176.887</v>
      </c>
      <c r="M11" s="12" t="s">
        <v>27</v>
      </c>
      <c r="N11" s="12"/>
      <c r="O11" s="13">
        <f>O6+O7+O8+SUM(O44:O47)</f>
        <v>6352.7120000000004</v>
      </c>
      <c r="P11" s="13">
        <f t="shared" ref="P11:R11" si="6">P6+P7+P8+SUM(P44:P47)</f>
        <v>6993.0329999999994</v>
      </c>
      <c r="Q11" s="13">
        <f t="shared" si="6"/>
        <v>7006.3290000000006</v>
      </c>
      <c r="R11" s="13">
        <f t="shared" si="6"/>
        <v>7341.5069999999996</v>
      </c>
      <c r="S11" s="13">
        <f>S6+S7+S8+SUM(S44:S47)</f>
        <v>11337.356</v>
      </c>
      <c r="T11" s="13">
        <f>T6+T7+T8+SUM(T44:T47)</f>
        <v>15734.509</v>
      </c>
      <c r="U11" s="71">
        <f>U6+U7+U8+SUM(U44:U47)</f>
        <v>18888.450000000004</v>
      </c>
      <c r="V11" s="71">
        <f>V6+V7+V8+SUM(V44:V47)</f>
        <v>21661.086999999996</v>
      </c>
      <c r="W11" s="71">
        <f>W6+W7+W8+SUM(W44:W47)</f>
        <v>22512.721000000001</v>
      </c>
    </row>
    <row r="12" spans="2:23" x14ac:dyDescent="0.3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80">
        <v>547.18600000000004</v>
      </c>
      <c r="J12" s="80">
        <f>6349.01/10</f>
        <v>634.90100000000007</v>
      </c>
      <c r="K12" s="16">
        <v>505.37400000000002</v>
      </c>
      <c r="M12" s="12" t="s">
        <v>27</v>
      </c>
      <c r="N12" s="12"/>
      <c r="O12" s="13">
        <f>O48-O35-O9</f>
        <v>6352.7119999999995</v>
      </c>
      <c r="P12" s="13">
        <f t="shared" ref="P12:T12" si="7">P48-P35-P9</f>
        <v>6993.0329999999985</v>
      </c>
      <c r="Q12" s="13">
        <f t="shared" si="7"/>
        <v>7006.3289999999997</v>
      </c>
      <c r="R12" s="13">
        <f t="shared" si="7"/>
        <v>7341.5070000000005</v>
      </c>
      <c r="S12" s="13">
        <f t="shared" si="7"/>
        <v>11337.356</v>
      </c>
      <c r="T12" s="13">
        <f t="shared" si="7"/>
        <v>15734.469999999998</v>
      </c>
      <c r="U12" s="71">
        <f>U48-U35-U9</f>
        <v>18888.440999999999</v>
      </c>
      <c r="V12" s="71">
        <f>V48-V35-V9</f>
        <v>21661.087</v>
      </c>
      <c r="W12" s="71">
        <f>W48-W35-W9</f>
        <v>22512.721000000001</v>
      </c>
    </row>
    <row r="13" spans="2:23" x14ac:dyDescent="0.3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80">
        <v>2753.7890000000002</v>
      </c>
      <c r="J13" s="80">
        <f>27999.97/10</f>
        <v>2799.9970000000003</v>
      </c>
      <c r="K13" s="16">
        <v>2198.8539999999998</v>
      </c>
      <c r="M13" s="6"/>
      <c r="N13" s="6"/>
      <c r="O13" s="7"/>
      <c r="P13" s="7"/>
      <c r="Q13" s="7"/>
      <c r="R13" s="7"/>
      <c r="S13" s="7"/>
      <c r="T13" s="6"/>
      <c r="U13" s="70"/>
      <c r="V13" s="18"/>
      <c r="W13" s="18"/>
    </row>
    <row r="14" spans="2:23" x14ac:dyDescent="0.3">
      <c r="B14" s="12" t="s">
        <v>30</v>
      </c>
      <c r="C14" s="13">
        <f t="shared" ref="C14:H14" si="8">C4-C7</f>
        <v>2972.7700000000004</v>
      </c>
      <c r="D14" s="13">
        <f t="shared" si="8"/>
        <v>1962.5500000000029</v>
      </c>
      <c r="E14" s="13">
        <f t="shared" si="8"/>
        <v>933.54999999999927</v>
      </c>
      <c r="F14" s="13">
        <f t="shared" si="8"/>
        <v>1484.9499999999971</v>
      </c>
      <c r="G14" s="13">
        <f t="shared" si="8"/>
        <v>6689.27</v>
      </c>
      <c r="H14" s="13">
        <f t="shared" si="8"/>
        <v>9039.4220000000059</v>
      </c>
      <c r="I14" s="77">
        <f>I4-I7</f>
        <v>6572.9249999999956</v>
      </c>
      <c r="J14" s="77">
        <f>J4-J7</f>
        <v>4667.8309999999983</v>
      </c>
      <c r="K14" s="77">
        <f>K4-K7</f>
        <v>3879.864999999998</v>
      </c>
      <c r="M14" s="6"/>
      <c r="N14" s="6"/>
      <c r="O14" s="7"/>
      <c r="P14" s="7"/>
      <c r="Q14" s="7"/>
      <c r="R14" s="7"/>
      <c r="S14" s="7"/>
      <c r="T14" s="6"/>
      <c r="U14" s="70"/>
      <c r="V14" s="18"/>
      <c r="W14" s="18"/>
    </row>
    <row r="15" spans="2:23" x14ac:dyDescent="0.3">
      <c r="B15" s="8" t="s">
        <v>14</v>
      </c>
      <c r="C15" s="9"/>
      <c r="D15" s="9">
        <f t="shared" ref="D15:H15" si="9">D14/C14-1</f>
        <v>-0.33982447347086975</v>
      </c>
      <c r="E15" s="9">
        <f t="shared" si="9"/>
        <v>-0.52431785177447821</v>
      </c>
      <c r="F15" s="9">
        <f t="shared" si="9"/>
        <v>0.59064859943227277</v>
      </c>
      <c r="G15" s="9">
        <f t="shared" si="9"/>
        <v>3.5047105963163832</v>
      </c>
      <c r="H15" s="9">
        <f t="shared" si="9"/>
        <v>0.35133161017570003</v>
      </c>
      <c r="I15" s="81">
        <f>I14/H14-1</f>
        <v>-0.27286003463495878</v>
      </c>
      <c r="J15" s="81">
        <f>J14/I14-1</f>
        <v>-0.28983960717640911</v>
      </c>
      <c r="K15" s="9"/>
      <c r="M15" s="12" t="s">
        <v>31</v>
      </c>
      <c r="N15" s="12"/>
      <c r="O15" s="13">
        <f t="shared" ref="O15:V15" si="10">SUM(O16:O23)</f>
        <v>3582.442</v>
      </c>
      <c r="P15" s="13">
        <f t="shared" si="10"/>
        <v>3570.5349999999999</v>
      </c>
      <c r="Q15" s="13">
        <f t="shared" si="10"/>
        <v>3679.1500000000005</v>
      </c>
      <c r="R15" s="13">
        <f t="shared" si="10"/>
        <v>3877.6019999999999</v>
      </c>
      <c r="S15" s="13">
        <f t="shared" si="10"/>
        <v>3902.7840000000001</v>
      </c>
      <c r="T15" s="13">
        <f t="shared" si="10"/>
        <v>5333.32</v>
      </c>
      <c r="U15" s="71">
        <f t="shared" si="10"/>
        <v>7025.8639999999996</v>
      </c>
      <c r="V15" s="71">
        <f t="shared" si="10"/>
        <v>10621.073</v>
      </c>
      <c r="W15" s="71">
        <f>SUM(W16:W23)</f>
        <v>12162.927000000001</v>
      </c>
    </row>
    <row r="16" spans="2:23" x14ac:dyDescent="0.3">
      <c r="B16" s="8" t="s">
        <v>16</v>
      </c>
      <c r="C16" s="9"/>
      <c r="D16" s="9"/>
      <c r="E16" s="9"/>
      <c r="F16" s="9">
        <f>(F14/C14)^(1/3)-1</f>
        <v>-0.20655497690380886</v>
      </c>
      <c r="G16" s="9">
        <f>(G14/D14)^(1/3)-1</f>
        <v>0.50494050724175565</v>
      </c>
      <c r="H16" s="9">
        <f>(H14/E14)^(1/3)-1</f>
        <v>1.1314134047460542</v>
      </c>
      <c r="I16" s="81">
        <f>(I14/F14)^(1/3)-1</f>
        <v>0.64190849069171207</v>
      </c>
      <c r="J16" s="81">
        <f>(J14/G14)^(1/3)-1</f>
        <v>-0.11302346091505011</v>
      </c>
      <c r="K16" s="9"/>
      <c r="M16" s="6" t="s">
        <v>32</v>
      </c>
      <c r="N16" s="6">
        <v>3313.2420000000002</v>
      </c>
      <c r="O16" s="10">
        <v>3353.799</v>
      </c>
      <c r="P16" s="10">
        <v>3322.4029999999998</v>
      </c>
      <c r="Q16" s="10">
        <v>3300.77</v>
      </c>
      <c r="R16" s="10">
        <v>3416.2570000000001</v>
      </c>
      <c r="S16" s="7">
        <v>3189.48</v>
      </c>
      <c r="T16" s="7">
        <v>3020.05</v>
      </c>
      <c r="U16" s="68">
        <v>5115.1220000000003</v>
      </c>
      <c r="V16" s="68">
        <f>65746.56/10</f>
        <v>6574.6559999999999</v>
      </c>
      <c r="W16" s="68">
        <v>6613.2830000000004</v>
      </c>
    </row>
    <row r="17" spans="2:23" x14ac:dyDescent="0.3">
      <c r="B17" s="12" t="s">
        <v>33</v>
      </c>
      <c r="C17" s="17">
        <f t="shared" ref="C17:H17" si="11">C14/C4</f>
        <v>9.2428342283066525E-2</v>
      </c>
      <c r="D17" s="17">
        <f t="shared" si="11"/>
        <v>6.3224241408970788E-2</v>
      </c>
      <c r="E17" s="17">
        <f t="shared" si="11"/>
        <v>2.9230015849428526E-2</v>
      </c>
      <c r="F17" s="17">
        <f t="shared" si="11"/>
        <v>5.4508680386675834E-2</v>
      </c>
      <c r="G17" s="17">
        <f t="shared" si="11"/>
        <v>0.21001283447173341</v>
      </c>
      <c r="H17" s="17">
        <f t="shared" si="11"/>
        <v>0.17962816420637856</v>
      </c>
      <c r="I17" s="82">
        <f>I14/I4</f>
        <v>0.12431758127314411</v>
      </c>
      <c r="J17" s="82">
        <f>J14/J4</f>
        <v>8.8854457068951551E-2</v>
      </c>
      <c r="K17" s="82">
        <f>K14/K4</f>
        <v>8.6520009998314759E-2</v>
      </c>
      <c r="M17" s="6" t="s">
        <v>34</v>
      </c>
      <c r="N17" s="6"/>
      <c r="O17" s="10">
        <v>14.032999999999999</v>
      </c>
      <c r="P17" s="10">
        <v>11.645</v>
      </c>
      <c r="Q17" s="10">
        <v>10.483000000000001</v>
      </c>
      <c r="R17" s="14">
        <v>8.0229999999999997</v>
      </c>
      <c r="S17" s="10">
        <v>6.3639999999999999</v>
      </c>
      <c r="T17" s="7">
        <v>4.8600000000000003</v>
      </c>
      <c r="U17" s="68">
        <v>3.88</v>
      </c>
      <c r="V17" s="68">
        <v>2.649</v>
      </c>
      <c r="W17" s="68">
        <v>7.8979999999999997</v>
      </c>
    </row>
    <row r="18" spans="2:23" x14ac:dyDescent="0.3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80">
        <v>466.02699999999999</v>
      </c>
      <c r="J18" s="80">
        <f>5948.79/10</f>
        <v>594.87900000000002</v>
      </c>
      <c r="K18" s="7">
        <v>504.685</v>
      </c>
      <c r="M18" s="6" t="s">
        <v>36</v>
      </c>
      <c r="N18" s="6"/>
      <c r="O18" s="10">
        <v>126.758</v>
      </c>
      <c r="P18" s="10">
        <v>96.513000000000005</v>
      </c>
      <c r="Q18" s="10">
        <v>237.58699999999999</v>
      </c>
      <c r="R18" s="10">
        <v>84.025000000000006</v>
      </c>
      <c r="S18" s="10">
        <v>90.662999999999997</v>
      </c>
      <c r="T18" s="7">
        <v>1789.44</v>
      </c>
      <c r="U18" s="68">
        <v>1080.4269999999999</v>
      </c>
      <c r="V18" s="68">
        <v>2326.1460000000002</v>
      </c>
      <c r="W18" s="68">
        <v>3247.009</v>
      </c>
    </row>
    <row r="19" spans="2:23" x14ac:dyDescent="0.3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80">
        <v>35.761000000000003</v>
      </c>
      <c r="J19" s="80">
        <f>722.16/10</f>
        <v>72.215999999999994</v>
      </c>
      <c r="K19" s="7">
        <v>94.515000000000001</v>
      </c>
      <c r="M19" s="6" t="s">
        <v>38</v>
      </c>
      <c r="N19" s="6"/>
      <c r="O19" s="7">
        <v>0</v>
      </c>
      <c r="P19" s="7">
        <v>0</v>
      </c>
      <c r="Q19" s="7">
        <v>0</v>
      </c>
      <c r="R19" s="7">
        <v>284.738</v>
      </c>
      <c r="S19" s="7">
        <v>392.56099999999998</v>
      </c>
      <c r="T19" s="7">
        <v>344.1</v>
      </c>
      <c r="U19" s="68">
        <v>147.04599999999999</v>
      </c>
      <c r="V19" s="68">
        <v>1110.17</v>
      </c>
      <c r="W19" s="68">
        <v>1176.761</v>
      </c>
    </row>
    <row r="20" spans="2:23" x14ac:dyDescent="0.3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80">
        <v>589.35900000000004</v>
      </c>
      <c r="J20" s="80">
        <v>681.42700000000002</v>
      </c>
      <c r="K20" s="7">
        <v>544.68700000000001</v>
      </c>
      <c r="M20" s="6" t="s">
        <v>40</v>
      </c>
      <c r="N20" s="6"/>
      <c r="O20" s="7"/>
      <c r="P20" s="7"/>
      <c r="Q20" s="7"/>
      <c r="R20" s="7"/>
      <c r="S20" s="7"/>
      <c r="T20" s="7"/>
      <c r="U20" s="70"/>
      <c r="V20" s="18"/>
      <c r="W20" s="18"/>
    </row>
    <row r="21" spans="2:23" x14ac:dyDescent="0.3">
      <c r="B21" s="1" t="s">
        <v>41</v>
      </c>
      <c r="C21" s="5">
        <f t="shared" ref="C21:H21" si="12">C14-C18-C19+C20</f>
        <v>2778.4900000000002</v>
      </c>
      <c r="D21" s="5">
        <f t="shared" si="12"/>
        <v>1789.250000000003</v>
      </c>
      <c r="E21" s="5">
        <f t="shared" si="12"/>
        <v>761.59999999999923</v>
      </c>
      <c r="F21" s="5">
        <f t="shared" si="12"/>
        <v>1178.9199999999971</v>
      </c>
      <c r="G21" s="5">
        <f t="shared" si="12"/>
        <v>6437.92</v>
      </c>
      <c r="H21" s="5">
        <f t="shared" si="12"/>
        <v>8878.1910000000062</v>
      </c>
      <c r="I21" s="85">
        <f>I14-I18-I19+I20</f>
        <v>6660.4959999999955</v>
      </c>
      <c r="J21" s="85">
        <f>J14-J18-J19+J20</f>
        <v>4682.1629999999986</v>
      </c>
      <c r="K21" s="87">
        <f>K14-K18-K19+K20</f>
        <v>3825.351999999998</v>
      </c>
      <c r="M21" s="19" t="s">
        <v>42</v>
      </c>
      <c r="N21" s="19"/>
      <c r="O21" s="10">
        <v>9.3059999999999992</v>
      </c>
      <c r="P21" s="10">
        <v>13.356</v>
      </c>
      <c r="Q21" s="10">
        <v>8.6950000000000003</v>
      </c>
      <c r="R21" s="10">
        <v>12.506</v>
      </c>
      <c r="S21" s="10">
        <v>8.5169999999999995</v>
      </c>
      <c r="T21" s="7">
        <v>12.4</v>
      </c>
      <c r="U21" s="68">
        <v>19.494</v>
      </c>
      <c r="V21" s="68">
        <v>12.65</v>
      </c>
      <c r="W21" s="68">
        <f>14.936+0.13</f>
        <v>15.066000000000001</v>
      </c>
    </row>
    <row r="22" spans="2:23" x14ac:dyDescent="0.3">
      <c r="B22" s="6" t="s">
        <v>43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80">
        <v>1687.492</v>
      </c>
      <c r="J22" s="80">
        <f>(11912.09+260.7)/10</f>
        <v>1217.279</v>
      </c>
      <c r="K22" s="7">
        <f>982.354+6.624</f>
        <v>988.97800000000007</v>
      </c>
      <c r="M22" s="19" t="s">
        <v>44</v>
      </c>
      <c r="N22" s="19"/>
      <c r="O22" s="14">
        <v>34.581000000000003</v>
      </c>
      <c r="P22" s="10">
        <v>34.585000000000001</v>
      </c>
      <c r="Q22" s="10">
        <v>44.216999999999999</v>
      </c>
      <c r="R22" s="10">
        <v>41.198</v>
      </c>
      <c r="S22" s="20">
        <v>53.252000000000002</v>
      </c>
      <c r="T22" s="7">
        <v>47.82</v>
      </c>
      <c r="U22" s="68">
        <v>253.77099999999999</v>
      </c>
      <c r="V22" s="68">
        <v>63.749000000000002</v>
      </c>
      <c r="W22" s="68">
        <v>101.938</v>
      </c>
    </row>
    <row r="23" spans="2:23" x14ac:dyDescent="0.3">
      <c r="B23" s="12" t="s">
        <v>45</v>
      </c>
      <c r="C23" s="13">
        <f t="shared" ref="C23:G23" si="13">C21-C22</f>
        <v>1794.13</v>
      </c>
      <c r="D23" s="13">
        <f t="shared" si="13"/>
        <v>1161.1000000000031</v>
      </c>
      <c r="E23" s="13">
        <f t="shared" si="13"/>
        <v>492.03999999999922</v>
      </c>
      <c r="F23" s="13">
        <f t="shared" si="13"/>
        <v>1026.519999999997</v>
      </c>
      <c r="G23" s="13">
        <f t="shared" si="13"/>
        <v>4775.01</v>
      </c>
      <c r="H23" s="13">
        <f>H21-H22</f>
        <v>6632.6610000000055</v>
      </c>
      <c r="I23" s="77">
        <f>I21-I22</f>
        <v>4973.0039999999954</v>
      </c>
      <c r="J23" s="77">
        <f>J21-J22</f>
        <v>3464.8839999999987</v>
      </c>
      <c r="K23" s="96">
        <f>K21-K22</f>
        <v>2836.373999999998</v>
      </c>
      <c r="L23" s="60"/>
      <c r="M23" s="6" t="s">
        <v>46</v>
      </c>
      <c r="N23" s="6"/>
      <c r="O23" s="10">
        <v>43.965000000000003</v>
      </c>
      <c r="P23" s="10">
        <v>92.033000000000001</v>
      </c>
      <c r="Q23" s="10">
        <v>77.397999999999996</v>
      </c>
      <c r="R23" s="10">
        <v>30.855</v>
      </c>
      <c r="S23" s="20">
        <v>161.947</v>
      </c>
      <c r="T23" s="7">
        <v>114.65</v>
      </c>
      <c r="U23" s="68">
        <v>406.12400000000002</v>
      </c>
      <c r="V23" s="68">
        <v>531.053</v>
      </c>
      <c r="W23" s="68">
        <v>1000.972</v>
      </c>
    </row>
    <row r="24" spans="2:23" x14ac:dyDescent="0.3">
      <c r="B24" s="8" t="s">
        <v>14</v>
      </c>
      <c r="C24" s="9"/>
      <c r="D24" s="9">
        <f t="shared" ref="D24:H24" si="14">D23/C23-1</f>
        <v>-0.35283396409401602</v>
      </c>
      <c r="E24" s="9">
        <f t="shared" si="14"/>
        <v>-0.57622943760227552</v>
      </c>
      <c r="F24" s="9">
        <f t="shared" si="14"/>
        <v>1.0862531501503914</v>
      </c>
      <c r="G24" s="9">
        <f t="shared" si="14"/>
        <v>3.6516482874176965</v>
      </c>
      <c r="H24" s="9">
        <f t="shared" si="14"/>
        <v>0.38903604390357405</v>
      </c>
      <c r="I24" s="81">
        <f>I23/H23-1</f>
        <v>-0.25022490973080169</v>
      </c>
      <c r="J24" s="81">
        <f>J23/I23-1</f>
        <v>-0.30326136878232912</v>
      </c>
      <c r="K24" s="9"/>
      <c r="M24" s="12" t="s">
        <v>47</v>
      </c>
      <c r="N24" s="12"/>
      <c r="O24" s="13">
        <f>SUM(O25:O34)</f>
        <v>7714.6440000000002</v>
      </c>
      <c r="P24" s="13">
        <f>SUM(P25:P34)</f>
        <v>9386.9869999999992</v>
      </c>
      <c r="Q24" s="13">
        <f t="shared" ref="Q24:T24" si="15">SUM(Q25:Q34)</f>
        <v>8529.51</v>
      </c>
      <c r="R24" s="13">
        <f t="shared" si="15"/>
        <v>8672.9479999999985</v>
      </c>
      <c r="S24" s="13">
        <f t="shared" si="15"/>
        <v>13650.592999999999</v>
      </c>
      <c r="T24" s="13">
        <f t="shared" si="15"/>
        <v>17449.55</v>
      </c>
      <c r="U24" s="71">
        <f>SUM(U25:U34)</f>
        <v>20284.330000000002</v>
      </c>
      <c r="V24" s="71">
        <f>SUM(V25:V34)</f>
        <v>20027.218999999997</v>
      </c>
      <c r="W24" s="71">
        <f>SUM(W25:W34)</f>
        <v>17784.581000000002</v>
      </c>
    </row>
    <row r="25" spans="2:23" x14ac:dyDescent="0.3">
      <c r="B25" s="8" t="s">
        <v>16</v>
      </c>
      <c r="C25" s="9"/>
      <c r="D25" s="9"/>
      <c r="E25" s="9"/>
      <c r="F25" s="9">
        <f>(F23/C23)^(1/3)-1</f>
        <v>-0.16982209789209446</v>
      </c>
      <c r="G25" s="9">
        <f>(G23/D23)^(1/3)-1</f>
        <v>0.60214402124422506</v>
      </c>
      <c r="H25" s="9">
        <f>(H23/E23)^(1/3)-1</f>
        <v>1.3799205752297836</v>
      </c>
      <c r="I25" s="81">
        <f>(I23/F23)^(1/3)-1</f>
        <v>0.69206534605037517</v>
      </c>
      <c r="J25" s="81">
        <f>(J23/G23)^(1/3)-1</f>
        <v>-0.10138953624682323</v>
      </c>
      <c r="K25" s="9"/>
      <c r="M25" s="6" t="s">
        <v>48</v>
      </c>
      <c r="N25" s="21">
        <v>1814.442</v>
      </c>
      <c r="O25" s="14">
        <v>3058.5720000000001</v>
      </c>
      <c r="P25" s="14">
        <v>3128.5940000000001</v>
      </c>
      <c r="Q25" s="14">
        <v>2450.5030000000002</v>
      </c>
      <c r="R25" s="14">
        <v>2584.299</v>
      </c>
      <c r="S25" s="10">
        <v>3178.08</v>
      </c>
      <c r="T25" s="6">
        <v>3007.55</v>
      </c>
      <c r="U25" s="68">
        <v>6469.3140000000003</v>
      </c>
      <c r="V25" s="68">
        <v>4806.0330000000004</v>
      </c>
      <c r="W25" s="68">
        <v>4607.8410000000003</v>
      </c>
    </row>
    <row r="26" spans="2:23" x14ac:dyDescent="0.3">
      <c r="B26" s="12" t="s">
        <v>49</v>
      </c>
      <c r="C26" s="17">
        <f t="shared" ref="C26:H26" si="16">C23/C4</f>
        <v>5.5782472825115344E-2</v>
      </c>
      <c r="D26" s="17">
        <f t="shared" si="16"/>
        <v>3.7405246592421115E-2</v>
      </c>
      <c r="E26" s="17">
        <f t="shared" si="16"/>
        <v>1.5406070374969525E-2</v>
      </c>
      <c r="F26" s="17">
        <f t="shared" si="16"/>
        <v>3.768089874442266E-2</v>
      </c>
      <c r="G26" s="17">
        <f t="shared" si="16"/>
        <v>0.14991372522425792</v>
      </c>
      <c r="H26" s="17">
        <f t="shared" si="16"/>
        <v>0.13180186954799139</v>
      </c>
      <c r="I26" s="82">
        <f>I23/I4</f>
        <v>9.4057338086418238E-2</v>
      </c>
      <c r="J26" s="82">
        <f>J23/J4</f>
        <v>6.5955769741213227E-2</v>
      </c>
      <c r="K26" s="82">
        <f>K23/K4</f>
        <v>6.3250424135623276E-2</v>
      </c>
      <c r="M26" s="6" t="s">
        <v>40</v>
      </c>
      <c r="N26" s="6"/>
      <c r="O26" s="7"/>
      <c r="P26" s="7"/>
      <c r="Q26" s="7"/>
      <c r="R26" s="7"/>
      <c r="S26" s="7"/>
      <c r="T26" s="6"/>
      <c r="U26" s="70"/>
      <c r="V26" s="18"/>
      <c r="W26" s="18"/>
    </row>
    <row r="27" spans="2:23" x14ac:dyDescent="0.3">
      <c r="B27" s="6" t="s">
        <v>50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75">
        <v>-4.3579999999999997</v>
      </c>
      <c r="J27" s="75">
        <f>-200.37/10</f>
        <v>-20.036999999999999</v>
      </c>
      <c r="K27" s="21">
        <v>-1.1399999999999999</v>
      </c>
      <c r="M27" s="6" t="s">
        <v>51</v>
      </c>
      <c r="N27" s="6"/>
      <c r="O27" s="7">
        <v>0</v>
      </c>
      <c r="P27" s="7">
        <v>1106.0260000000001</v>
      </c>
      <c r="Q27" s="7">
        <v>2507.9609999999998</v>
      </c>
      <c r="R27" s="7">
        <v>1348.126</v>
      </c>
      <c r="S27" s="7">
        <v>4702.8310000000001</v>
      </c>
      <c r="T27" s="6">
        <v>4837.88</v>
      </c>
      <c r="U27" s="68">
        <v>5625.5069999999996</v>
      </c>
      <c r="V27" s="68">
        <v>5717.9579999999996</v>
      </c>
      <c r="W27" s="68">
        <v>3147.1860000000001</v>
      </c>
    </row>
    <row r="28" spans="2:23" x14ac:dyDescent="0.3">
      <c r="B28" s="12" t="s">
        <v>52</v>
      </c>
      <c r="C28" s="13">
        <f>SUM(C23+C27)</f>
        <v>1789.89</v>
      </c>
      <c r="D28" s="13">
        <f>SUM(D23+D27)</f>
        <v>1157.470000000003</v>
      </c>
      <c r="E28" s="13">
        <f t="shared" ref="E28:G28" si="17">SUM(E23+E27)</f>
        <v>491.90099999999921</v>
      </c>
      <c r="F28" s="13">
        <f t="shared" si="17"/>
        <v>1020.879999999997</v>
      </c>
      <c r="G28" s="13">
        <f t="shared" si="17"/>
        <v>4767.01</v>
      </c>
      <c r="H28" s="13">
        <f>SUM(H23+H27)</f>
        <v>6624.3910000000051</v>
      </c>
      <c r="I28" s="77">
        <f>SUM(I23+I27)</f>
        <v>4968.6459999999952</v>
      </c>
      <c r="J28" s="77">
        <f>SUM(J23+J27)</f>
        <v>3444.8469999999988</v>
      </c>
      <c r="K28" s="97">
        <f>K23-K27</f>
        <v>2837.5139999999978</v>
      </c>
      <c r="M28" s="23" t="s">
        <v>53</v>
      </c>
      <c r="N28" s="24">
        <v>2811.6170000000002</v>
      </c>
      <c r="O28" s="10">
        <v>3073.8890000000001</v>
      </c>
      <c r="P28" s="10">
        <v>2952.6390000000001</v>
      </c>
      <c r="Q28" s="10">
        <v>2846.8890000000001</v>
      </c>
      <c r="R28" s="10">
        <v>2480.8319999999999</v>
      </c>
      <c r="S28" s="20">
        <v>3833.3539999999998</v>
      </c>
      <c r="T28" s="6">
        <v>4117.84</v>
      </c>
      <c r="U28" s="68">
        <v>3622.913</v>
      </c>
      <c r="V28" s="68">
        <v>3949.7139999999999</v>
      </c>
      <c r="W28" s="68">
        <v>3645.5320000000002</v>
      </c>
    </row>
    <row r="29" spans="2:23" x14ac:dyDescent="0.3">
      <c r="B29" s="25" t="s">
        <v>14</v>
      </c>
      <c r="C29" s="26"/>
      <c r="D29" s="27">
        <f>D28/C28-1</f>
        <v>-0.35332897552363385</v>
      </c>
      <c r="E29" s="27">
        <f t="shared" ref="E29:H29" si="18">E28/D28-1</f>
        <v>-0.57502051889034012</v>
      </c>
      <c r="F29" s="27">
        <f t="shared" si="18"/>
        <v>1.0753769559321871</v>
      </c>
      <c r="G29" s="27">
        <f t="shared" si="18"/>
        <v>3.6695106182901167</v>
      </c>
      <c r="H29" s="27">
        <f t="shared" si="18"/>
        <v>0.3896322852270091</v>
      </c>
      <c r="I29" s="83">
        <f>I28/H28-1</f>
        <v>-0.24994674982198495</v>
      </c>
      <c r="J29" s="83">
        <f>J28/I28-1</f>
        <v>-0.30668294742672308</v>
      </c>
      <c r="K29" s="83"/>
      <c r="M29" s="23" t="s">
        <v>54</v>
      </c>
      <c r="N29" s="23"/>
      <c r="O29" s="10">
        <v>932.61300000000006</v>
      </c>
      <c r="P29" s="10">
        <v>1232.694</v>
      </c>
      <c r="Q29" s="10">
        <v>330.09899999999999</v>
      </c>
      <c r="R29" s="10">
        <v>1709.0440000000001</v>
      </c>
      <c r="S29" s="10">
        <v>660.77099999999996</v>
      </c>
      <c r="T29" s="6">
        <v>2175.38</v>
      </c>
      <c r="U29" s="37">
        <v>818.14499999999998</v>
      </c>
      <c r="V29" s="68">
        <v>2159.145</v>
      </c>
      <c r="W29" s="68">
        <v>2554.2139999999999</v>
      </c>
    </row>
    <row r="30" spans="2:23" x14ac:dyDescent="0.3">
      <c r="B30" s="25" t="s">
        <v>55</v>
      </c>
      <c r="C30" s="26"/>
      <c r="D30" s="26"/>
      <c r="E30" s="26"/>
      <c r="F30" s="9">
        <f>(F28/C28)^(1/3)-1</f>
        <v>-0.1706914975393381</v>
      </c>
      <c r="G30" s="9">
        <f>(G28/D28)^(1/3)-1</f>
        <v>0.60292095501483067</v>
      </c>
      <c r="H30" s="9">
        <f>(H28/E28)^(1/3)-1</f>
        <v>1.3791550773188441</v>
      </c>
      <c r="I30" s="81">
        <f>(I28/F28)^(1/3)-1</f>
        <v>0.69468032232476529</v>
      </c>
      <c r="J30" s="81">
        <f>(J28/G28)^(1/3)-1</f>
        <v>-0.1026236391093297</v>
      </c>
      <c r="K30" s="81"/>
      <c r="M30" s="23" t="s">
        <v>56</v>
      </c>
      <c r="N30" s="23"/>
      <c r="O30" s="14">
        <v>45.256999999999998</v>
      </c>
      <c r="P30" s="10">
        <v>51.197000000000003</v>
      </c>
      <c r="Q30" s="10">
        <v>52.9</v>
      </c>
      <c r="R30" s="10">
        <v>49.481000000000002</v>
      </c>
      <c r="S30" s="10">
        <v>406.72399999999999</v>
      </c>
      <c r="T30" s="6">
        <v>2299.1</v>
      </c>
      <c r="U30" s="69">
        <v>2677.027</v>
      </c>
      <c r="V30" s="68">
        <v>3044.547</v>
      </c>
      <c r="W30" s="68">
        <v>3371.181</v>
      </c>
    </row>
    <row r="31" spans="2:23" x14ac:dyDescent="0.3">
      <c r="B31" s="6"/>
      <c r="C31" s="6"/>
      <c r="D31" s="6"/>
      <c r="E31" s="6"/>
      <c r="F31" s="6"/>
      <c r="G31" s="6"/>
      <c r="H31" s="6"/>
      <c r="I31" s="28"/>
      <c r="J31" s="28"/>
      <c r="K31" s="6"/>
      <c r="M31" s="6" t="s">
        <v>57</v>
      </c>
      <c r="N31" s="6"/>
      <c r="O31" s="14">
        <v>5.0419999999999998</v>
      </c>
      <c r="P31" s="10">
        <v>7.0629999999999997</v>
      </c>
      <c r="Q31" s="10">
        <v>8.0310000000000006</v>
      </c>
      <c r="R31" s="10">
        <v>8.9749999999999996</v>
      </c>
      <c r="S31" s="10">
        <v>6.4450000000000003</v>
      </c>
      <c r="T31" s="6">
        <v>7.68</v>
      </c>
      <c r="U31" s="68">
        <v>8.7799999999999994</v>
      </c>
      <c r="V31" s="68">
        <v>8.0250000000000004</v>
      </c>
      <c r="W31" s="68">
        <v>7.891</v>
      </c>
    </row>
    <row r="32" spans="2:23" x14ac:dyDescent="0.3">
      <c r="B32" s="12" t="s">
        <v>58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84">
        <v>26.49</v>
      </c>
      <c r="J32" s="84">
        <v>18.43</v>
      </c>
      <c r="K32" s="30">
        <v>15.08</v>
      </c>
      <c r="M32" s="23" t="s">
        <v>59</v>
      </c>
      <c r="N32" s="23"/>
      <c r="O32" s="10">
        <v>60.421999999999997</v>
      </c>
      <c r="P32" s="10">
        <v>27.087</v>
      </c>
      <c r="Q32" s="10">
        <v>17.186</v>
      </c>
      <c r="R32" s="10">
        <v>71.988</v>
      </c>
      <c r="S32" s="10">
        <v>567.91600000000005</v>
      </c>
      <c r="T32" s="6">
        <v>600.34</v>
      </c>
      <c r="U32" s="68">
        <v>563.00599999999997</v>
      </c>
      <c r="V32" s="68">
        <v>74.010000000000005</v>
      </c>
      <c r="W32" s="68">
        <v>184.57599999999999</v>
      </c>
    </row>
    <row r="33" spans="2:23" x14ac:dyDescent="0.3">
      <c r="B33" s="8" t="s">
        <v>14</v>
      </c>
      <c r="C33" s="9"/>
      <c r="D33" s="9">
        <f t="shared" ref="D33:H33" si="19">D32/C32-1</f>
        <v>-0.35287789133942982</v>
      </c>
      <c r="E33" s="9">
        <f t="shared" si="19"/>
        <v>-0.57605985037406482</v>
      </c>
      <c r="F33" s="9">
        <f t="shared" si="19"/>
        <v>1.0862745098039217</v>
      </c>
      <c r="G33" s="9">
        <f t="shared" si="19"/>
        <v>3.7584586466165417</v>
      </c>
      <c r="H33" s="9">
        <f t="shared" si="19"/>
        <v>-0.30337744420304169</v>
      </c>
      <c r="I33" s="81">
        <f>I32/H32-1</f>
        <v>-0.24893677346186571</v>
      </c>
      <c r="J33" s="81">
        <f>J32/I32-1</f>
        <v>-0.30426576066440159</v>
      </c>
      <c r="K33" s="9"/>
      <c r="M33" s="6" t="s">
        <v>60</v>
      </c>
      <c r="N33" s="6"/>
      <c r="O33" s="7">
        <v>114.23099999999999</v>
      </c>
      <c r="P33" s="7">
        <v>22.591999999999999</v>
      </c>
      <c r="Q33" s="7">
        <v>22.954999999999998</v>
      </c>
      <c r="R33" s="7">
        <v>102.75700000000001</v>
      </c>
      <c r="S33" s="7">
        <v>84.605999999999995</v>
      </c>
      <c r="T33" s="6">
        <v>87.94</v>
      </c>
      <c r="U33" s="68">
        <v>130.339</v>
      </c>
      <c r="V33" s="68">
        <v>47.625</v>
      </c>
      <c r="W33" s="68">
        <v>39.68</v>
      </c>
    </row>
    <row r="34" spans="2:23" x14ac:dyDescent="0.3">
      <c r="B34" s="8" t="s">
        <v>16</v>
      </c>
      <c r="C34" s="9"/>
      <c r="D34" s="9"/>
      <c r="E34" s="9"/>
      <c r="F34" s="9">
        <f>(F32/C32)^(1/3)-1</f>
        <v>-0.16972732325029882</v>
      </c>
      <c r="G34" s="9">
        <f>(G32/D32)^(1/3)-1</f>
        <v>0.61453488560311609</v>
      </c>
      <c r="H34" s="9">
        <f>(H32/E32)^(1/3)-1</f>
        <v>0.90521983620989954</v>
      </c>
      <c r="I34" s="81">
        <f>(I32/F32)^(1/3)-1</f>
        <v>0.35533538429591793</v>
      </c>
      <c r="J34" s="81">
        <f>(J32/G32)^(1/3)-1</f>
        <v>-0.28598752021157392</v>
      </c>
      <c r="K34" s="9"/>
      <c r="M34" s="6" t="s">
        <v>61</v>
      </c>
      <c r="N34" s="6"/>
      <c r="O34" s="7">
        <v>424.61799999999999</v>
      </c>
      <c r="P34" s="7">
        <v>859.09500000000003</v>
      </c>
      <c r="Q34" s="7">
        <v>292.98599999999999</v>
      </c>
      <c r="R34" s="7">
        <v>317.44600000000003</v>
      </c>
      <c r="S34" s="16">
        <v>209.86600000000001</v>
      </c>
      <c r="T34" s="6">
        <v>315.83999999999997</v>
      </c>
      <c r="U34" s="68">
        <v>369.29899999999998</v>
      </c>
      <c r="V34" s="68">
        <v>220.16200000000001</v>
      </c>
      <c r="W34" s="70">
        <v>226.48</v>
      </c>
    </row>
    <row r="35" spans="2:23" x14ac:dyDescent="0.3">
      <c r="K35" s="6"/>
      <c r="M35" s="12" t="s">
        <v>62</v>
      </c>
      <c r="N35" s="12"/>
      <c r="O35" s="13">
        <f t="shared" ref="O35:S35" si="20">SUM(O37:O42)</f>
        <v>4944.3739999999998</v>
      </c>
      <c r="P35" s="13">
        <f t="shared" si="20"/>
        <v>5964.4890000000005</v>
      </c>
      <c r="Q35" s="13">
        <f t="shared" si="20"/>
        <v>5202.3310000000001</v>
      </c>
      <c r="R35" s="13">
        <f t="shared" si="20"/>
        <v>5209.0429999999988</v>
      </c>
      <c r="S35" s="13">
        <f t="shared" si="20"/>
        <v>6216.0209999999997</v>
      </c>
      <c r="T35" s="13">
        <f>SUM(T37:T42)</f>
        <v>7048.4000000000005</v>
      </c>
      <c r="U35" s="71">
        <f>SUM(U37:U42)</f>
        <v>8421.7530000000024</v>
      </c>
      <c r="V35" s="71">
        <f>SUM(V37:V42)</f>
        <v>8987.2049999999981</v>
      </c>
      <c r="W35" s="71">
        <f>SUM(W37:W42)</f>
        <v>7434.7870000000003</v>
      </c>
    </row>
    <row r="36" spans="2:23" x14ac:dyDescent="0.3">
      <c r="B36" s="1" t="s">
        <v>63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117</v>
      </c>
      <c r="M36" s="6" t="s">
        <v>64</v>
      </c>
      <c r="N36" s="6"/>
      <c r="O36" s="7"/>
      <c r="P36" s="7"/>
      <c r="Q36" s="7"/>
      <c r="R36" s="7"/>
      <c r="S36" s="7"/>
      <c r="T36" s="6"/>
      <c r="U36" s="70"/>
      <c r="V36" s="18"/>
      <c r="W36" s="18"/>
    </row>
    <row r="37" spans="2:23" ht="14.1" customHeight="1" x14ac:dyDescent="0.3">
      <c r="B37" s="31" t="s">
        <v>65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73">
        <v>9312.3799999999992</v>
      </c>
      <c r="J37" s="73">
        <f>I42</f>
        <v>8944.0559999999987</v>
      </c>
      <c r="K37" s="79">
        <f>J42</f>
        <v>10727.606999999998</v>
      </c>
      <c r="M37" s="6" t="s">
        <v>66</v>
      </c>
      <c r="N37" s="6">
        <v>4127.42</v>
      </c>
      <c r="O37" s="10">
        <v>4318.2179999999998</v>
      </c>
      <c r="P37" s="10">
        <v>5726.2830000000004</v>
      </c>
      <c r="Q37" s="10">
        <f>5.347+4735.814</f>
        <v>4741.1610000000001</v>
      </c>
      <c r="R37" s="10">
        <f>6.391+4755.257</f>
        <v>4761.6479999999992</v>
      </c>
      <c r="S37" s="10">
        <f>4.515+5680.897</f>
        <v>5685.4120000000003</v>
      </c>
      <c r="T37" s="6">
        <v>5259.34</v>
      </c>
      <c r="U37" s="68">
        <v>7820.2330000000002</v>
      </c>
      <c r="V37" s="68">
        <f>(258.88+80632.34)/10</f>
        <v>8089.1220000000003</v>
      </c>
      <c r="W37" s="68">
        <f>(68.1+62887.33)/10</f>
        <v>6295.5429999999997</v>
      </c>
    </row>
    <row r="38" spans="2:23" x14ac:dyDescent="0.3">
      <c r="B38" s="6" t="s">
        <v>67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73">
        <v>3036.4050000000002</v>
      </c>
      <c r="J38" s="73">
        <v>5570.2669999999998</v>
      </c>
      <c r="K38" s="68">
        <v>1046.501</v>
      </c>
      <c r="M38" s="6" t="s">
        <v>68</v>
      </c>
      <c r="N38" s="6"/>
      <c r="O38" s="14">
        <v>174.16900000000001</v>
      </c>
      <c r="P38" s="10">
        <v>119.84699999999999</v>
      </c>
      <c r="Q38" s="10">
        <v>241.13</v>
      </c>
      <c r="R38" s="10">
        <v>196.81899999999999</v>
      </c>
      <c r="S38" s="10">
        <v>192.26</v>
      </c>
      <c r="T38" s="6">
        <v>966.47</v>
      </c>
      <c r="U38" s="68">
        <v>296.154</v>
      </c>
      <c r="V38" s="68">
        <f>4549.84/10</f>
        <v>454.98400000000004</v>
      </c>
      <c r="W38" s="68">
        <v>539.53800000000001</v>
      </c>
    </row>
    <row r="39" spans="2:23" x14ac:dyDescent="0.3">
      <c r="B39" s="6" t="s">
        <v>69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73">
        <v>-1468.4349999999999</v>
      </c>
      <c r="J39" s="73">
        <v>-1817.713</v>
      </c>
      <c r="K39" s="68">
        <v>-1439.64</v>
      </c>
      <c r="M39" s="6" t="s">
        <v>70</v>
      </c>
      <c r="N39" s="6"/>
      <c r="O39" s="7">
        <v>0</v>
      </c>
      <c r="P39" s="7">
        <v>0</v>
      </c>
      <c r="Q39" s="7">
        <v>0</v>
      </c>
      <c r="R39" s="7">
        <v>122.116</v>
      </c>
      <c r="S39" s="7">
        <v>148.37799999999999</v>
      </c>
      <c r="T39" s="6">
        <v>205.62</v>
      </c>
      <c r="U39" s="68">
        <v>142.875</v>
      </c>
      <c r="V39" s="68">
        <v>158.876</v>
      </c>
      <c r="W39" s="68">
        <v>208.65100000000001</v>
      </c>
    </row>
    <row r="40" spans="2:23" x14ac:dyDescent="0.3">
      <c r="B40" s="6" t="s">
        <v>71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73">
        <v>-1936.2940000000001</v>
      </c>
      <c r="J40" s="73">
        <v>-1969.0029999999999</v>
      </c>
      <c r="K40" s="68">
        <v>-1481.664</v>
      </c>
      <c r="M40" s="6" t="s">
        <v>72</v>
      </c>
      <c r="N40" s="6"/>
      <c r="O40" s="10">
        <v>314.315</v>
      </c>
      <c r="P40" s="10">
        <v>81.006</v>
      </c>
      <c r="Q40" s="10">
        <v>185.81899999999999</v>
      </c>
      <c r="R40" s="10">
        <v>104.455</v>
      </c>
      <c r="S40" s="10">
        <v>152.40600000000001</v>
      </c>
      <c r="T40" s="6">
        <v>589.85</v>
      </c>
      <c r="U40" s="68">
        <v>134.495</v>
      </c>
      <c r="V40" s="68">
        <v>193.44200000000001</v>
      </c>
      <c r="W40" s="68">
        <v>275.17899999999997</v>
      </c>
    </row>
    <row r="41" spans="2:23" x14ac:dyDescent="0.3">
      <c r="B41" s="6" t="s">
        <v>73</v>
      </c>
      <c r="C41" s="7">
        <f t="shared" ref="C41:H41" si="21">C38+C39+C40</f>
        <v>268.69200000000001</v>
      </c>
      <c r="D41" s="7">
        <f t="shared" si="21"/>
        <v>1412.047</v>
      </c>
      <c r="E41" s="7">
        <f t="shared" si="21"/>
        <v>501.04299999999989</v>
      </c>
      <c r="F41" s="7">
        <f t="shared" si="21"/>
        <v>215.69099999999992</v>
      </c>
      <c r="G41" s="7">
        <f t="shared" si="21"/>
        <v>2663.6750000000002</v>
      </c>
      <c r="H41" s="18">
        <f t="shared" si="21"/>
        <v>3542.0550000000003</v>
      </c>
      <c r="I41" s="73">
        <f>I38+I39+I40</f>
        <v>-368.32399999999984</v>
      </c>
      <c r="J41" s="73">
        <f>J38+J39+J40</f>
        <v>1783.5510000000002</v>
      </c>
      <c r="K41" s="73">
        <f>K38+K39+K40</f>
        <v>-1874.8030000000001</v>
      </c>
      <c r="M41" s="6" t="s">
        <v>74</v>
      </c>
      <c r="N41" s="6"/>
      <c r="O41" s="14">
        <v>17.443999999999999</v>
      </c>
      <c r="P41" s="10">
        <v>19.254000000000001</v>
      </c>
      <c r="Q41" s="10">
        <v>16</v>
      </c>
      <c r="R41" s="10">
        <v>21.364000000000001</v>
      </c>
      <c r="S41" s="10">
        <v>24.673999999999999</v>
      </c>
      <c r="T41" s="6">
        <v>26.13</v>
      </c>
      <c r="U41" s="68">
        <v>21.876999999999999</v>
      </c>
      <c r="V41" s="68">
        <v>28.603000000000002</v>
      </c>
      <c r="W41" s="68">
        <v>32.131</v>
      </c>
    </row>
    <row r="42" spans="2:23" x14ac:dyDescent="0.3">
      <c r="B42" s="12" t="s">
        <v>75</v>
      </c>
      <c r="C42" s="13">
        <f t="shared" ref="C42:D42" si="22">C37+C41</f>
        <v>977.87</v>
      </c>
      <c r="D42" s="13">
        <f t="shared" si="22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3">G37+G41</f>
        <v>5770.3250000000007</v>
      </c>
      <c r="H42" s="13">
        <f t="shared" si="23"/>
        <v>9312.3810000000012</v>
      </c>
      <c r="I42" s="77">
        <f>I37+I41</f>
        <v>8944.0559999999987</v>
      </c>
      <c r="J42" s="77">
        <f>J37+J41</f>
        <v>10727.606999999998</v>
      </c>
      <c r="K42" s="77">
        <f>K37+K41</f>
        <v>8852.8039999999983</v>
      </c>
      <c r="M42" s="6" t="s">
        <v>76</v>
      </c>
      <c r="N42" s="6"/>
      <c r="O42" s="7">
        <v>120.22799999999999</v>
      </c>
      <c r="P42" s="7">
        <v>18.099</v>
      </c>
      <c r="Q42" s="7">
        <v>18.221</v>
      </c>
      <c r="R42" s="7">
        <v>2.641</v>
      </c>
      <c r="S42" s="7">
        <v>12.891</v>
      </c>
      <c r="T42" s="6">
        <v>0.99</v>
      </c>
      <c r="U42" s="68">
        <v>6.1189999999999998</v>
      </c>
      <c r="V42" s="68">
        <v>62.177999999999997</v>
      </c>
      <c r="W42" s="68">
        <v>83.745000000000005</v>
      </c>
    </row>
    <row r="43" spans="2:23" x14ac:dyDescent="0.3">
      <c r="J43" s="32"/>
      <c r="K43" s="6"/>
      <c r="M43" s="12" t="s">
        <v>77</v>
      </c>
      <c r="N43" s="12"/>
      <c r="O43" s="13">
        <f>O24-O35</f>
        <v>2770.2700000000004</v>
      </c>
      <c r="P43" s="13">
        <f t="shared" ref="P43:V43" si="24">P24-P35</f>
        <v>3422.4979999999987</v>
      </c>
      <c r="Q43" s="13">
        <f t="shared" si="24"/>
        <v>3327.1790000000001</v>
      </c>
      <c r="R43" s="13">
        <f t="shared" si="24"/>
        <v>3463.9049999999997</v>
      </c>
      <c r="S43" s="13">
        <f t="shared" si="24"/>
        <v>7434.5719999999992</v>
      </c>
      <c r="T43" s="13">
        <f t="shared" si="24"/>
        <v>10401.149999999998</v>
      </c>
      <c r="U43" s="71">
        <f t="shared" si="24"/>
        <v>11862.576999999999</v>
      </c>
      <c r="V43" s="71">
        <f t="shared" si="24"/>
        <v>11040.013999999999</v>
      </c>
      <c r="W43" s="71">
        <f>W24-W35</f>
        <v>10349.794000000002</v>
      </c>
    </row>
    <row r="44" spans="2:23" x14ac:dyDescent="0.3">
      <c r="B44" s="33" t="s">
        <v>78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117</v>
      </c>
      <c r="M44" s="6" t="s">
        <v>79</v>
      </c>
      <c r="N44" s="6"/>
      <c r="O44" s="10">
        <v>26.69</v>
      </c>
      <c r="P44" s="10">
        <v>18.925999999999998</v>
      </c>
      <c r="Q44" s="10">
        <v>22.594999999999999</v>
      </c>
      <c r="R44" s="10">
        <v>29.106000000000002</v>
      </c>
      <c r="S44" s="10">
        <v>36.393999999999998</v>
      </c>
      <c r="T44" s="6">
        <v>34.25</v>
      </c>
      <c r="U44" s="68">
        <v>36.200000000000003</v>
      </c>
      <c r="V44" s="68">
        <v>72.698999999999998</v>
      </c>
      <c r="W44" s="68">
        <v>77.328000000000003</v>
      </c>
    </row>
    <row r="45" spans="2:23" x14ac:dyDescent="0.3">
      <c r="B45" s="33" t="s">
        <v>80</v>
      </c>
      <c r="C45" s="35">
        <f t="shared" ref="C45:H45" si="25">C38</f>
        <v>686.37199999999996</v>
      </c>
      <c r="D45" s="35">
        <f t="shared" si="25"/>
        <v>2127.12</v>
      </c>
      <c r="E45" s="35">
        <f t="shared" si="25"/>
        <v>1329.723</v>
      </c>
      <c r="F45" s="35">
        <f t="shared" si="25"/>
        <v>1190.2809999999999</v>
      </c>
      <c r="G45" s="35">
        <f t="shared" si="25"/>
        <v>4347.134</v>
      </c>
      <c r="H45" s="35">
        <f t="shared" si="25"/>
        <v>6722.1450000000004</v>
      </c>
      <c r="I45" s="78">
        <f>I38</f>
        <v>3036.4050000000002</v>
      </c>
      <c r="J45" s="78">
        <f>J38</f>
        <v>5570.2669999999998</v>
      </c>
      <c r="K45" s="88">
        <f>K38</f>
        <v>1046.501</v>
      </c>
      <c r="M45" s="6" t="s">
        <v>81</v>
      </c>
      <c r="N45" s="6"/>
      <c r="O45" s="10">
        <v>26.324999999999999</v>
      </c>
      <c r="P45" s="10">
        <v>30.798999999999999</v>
      </c>
      <c r="Q45" s="10">
        <v>36.14</v>
      </c>
      <c r="R45" s="10">
        <v>34.649000000000001</v>
      </c>
      <c r="S45" s="10">
        <v>33.377000000000002</v>
      </c>
      <c r="T45" s="6">
        <v>33.14</v>
      </c>
      <c r="U45" s="68">
        <v>35.832999999999998</v>
      </c>
      <c r="V45" s="68">
        <v>41.3</v>
      </c>
      <c r="W45" s="68">
        <v>41.3</v>
      </c>
    </row>
    <row r="46" spans="2:23" x14ac:dyDescent="0.3">
      <c r="B46" s="36" t="s">
        <v>82</v>
      </c>
      <c r="C46" s="37">
        <f t="shared" ref="C46:I46" si="26">(O16-N16)+C18</f>
        <v>262.7369999999998</v>
      </c>
      <c r="D46" s="37">
        <f t="shared" si="26"/>
        <v>176.06399999999982</v>
      </c>
      <c r="E46" s="37">
        <f t="shared" si="26"/>
        <v>211.08700000000019</v>
      </c>
      <c r="F46" s="37">
        <f t="shared" si="26"/>
        <v>475.78700000000009</v>
      </c>
      <c r="G46" s="37">
        <f t="shared" si="26"/>
        <v>164.65299999999996</v>
      </c>
      <c r="H46" s="37">
        <f t="shared" si="26"/>
        <v>249.08100000000019</v>
      </c>
      <c r="I46" s="79">
        <f t="shared" si="26"/>
        <v>2561.0990000000002</v>
      </c>
      <c r="J46" s="79">
        <f>(V16-U16)+J18</f>
        <v>2054.4129999999996</v>
      </c>
      <c r="K46" s="79">
        <f>(W16-V16)+K18</f>
        <v>543.31200000000035</v>
      </c>
      <c r="M46" s="6" t="s">
        <v>83</v>
      </c>
      <c r="N46" s="6"/>
      <c r="O46" s="7">
        <v>0</v>
      </c>
      <c r="P46" s="7">
        <v>0</v>
      </c>
      <c r="Q46" s="7">
        <v>0</v>
      </c>
      <c r="R46" s="7">
        <v>170.71700000000001</v>
      </c>
      <c r="S46" s="7">
        <v>262.22199999999998</v>
      </c>
      <c r="T46" s="21">
        <v>166.709</v>
      </c>
      <c r="U46" s="68">
        <v>23.684999999999999</v>
      </c>
      <c r="V46" s="68">
        <v>982.56</v>
      </c>
      <c r="W46" s="68">
        <v>1020.939</v>
      </c>
    </row>
    <row r="47" spans="2:23" x14ac:dyDescent="0.3">
      <c r="B47" s="38" t="s">
        <v>84</v>
      </c>
      <c r="C47" s="39">
        <f t="shared" ref="C47:G47" si="27">C45-C46</f>
        <v>423.63500000000016</v>
      </c>
      <c r="D47" s="39">
        <f t="shared" si="27"/>
        <v>1951.056</v>
      </c>
      <c r="E47" s="39">
        <f t="shared" si="27"/>
        <v>1118.6359999999997</v>
      </c>
      <c r="F47" s="39">
        <f t="shared" si="27"/>
        <v>714.49399999999991</v>
      </c>
      <c r="G47" s="39">
        <f t="shared" si="27"/>
        <v>4182.4809999999998</v>
      </c>
      <c r="H47" s="39">
        <f>H45-H46</f>
        <v>6473.0640000000003</v>
      </c>
      <c r="I47" s="76">
        <f>I45-I46</f>
        <v>475.30600000000004</v>
      </c>
      <c r="J47" s="76">
        <f>J45-J46</f>
        <v>3515.8540000000003</v>
      </c>
      <c r="K47" s="76">
        <f>K45-K46</f>
        <v>503.18899999999962</v>
      </c>
      <c r="M47" s="6" t="s">
        <v>85</v>
      </c>
      <c r="N47" s="6"/>
      <c r="O47" s="7">
        <v>478.69400000000002</v>
      </c>
      <c r="P47" s="7">
        <v>487.4</v>
      </c>
      <c r="Q47" s="7">
        <v>523.30499999999995</v>
      </c>
      <c r="R47" s="7">
        <v>374.26400000000001</v>
      </c>
      <c r="S47" s="7">
        <v>356.91500000000002</v>
      </c>
      <c r="T47" s="6">
        <v>344.09</v>
      </c>
      <c r="U47" s="68">
        <v>354.072</v>
      </c>
      <c r="V47" s="68">
        <v>373.40199999999999</v>
      </c>
      <c r="W47" s="68">
        <v>374.70699999999999</v>
      </c>
    </row>
    <row r="48" spans="2:23" x14ac:dyDescent="0.3">
      <c r="B48" s="40"/>
      <c r="C48" s="41"/>
      <c r="D48" s="41"/>
      <c r="E48" s="41"/>
      <c r="F48" s="41"/>
      <c r="G48" s="41"/>
      <c r="H48" s="41"/>
      <c r="I48" s="41"/>
      <c r="J48" s="79"/>
      <c r="K48" s="37"/>
      <c r="M48" s="12" t="s">
        <v>86</v>
      </c>
      <c r="N48" s="12"/>
      <c r="O48" s="13">
        <f>SUM(O15+O24)</f>
        <v>11297.085999999999</v>
      </c>
      <c r="P48" s="13">
        <f t="shared" ref="P48:S48" si="28">SUM(P15+P24)</f>
        <v>12957.521999999999</v>
      </c>
      <c r="Q48" s="13">
        <f t="shared" si="28"/>
        <v>12208.66</v>
      </c>
      <c r="R48" s="13">
        <f t="shared" si="28"/>
        <v>12550.55</v>
      </c>
      <c r="S48" s="13">
        <f t="shared" si="28"/>
        <v>17553.377</v>
      </c>
      <c r="T48" s="13">
        <f>SUM(T15+T24)</f>
        <v>22782.87</v>
      </c>
      <c r="U48" s="71">
        <f>SUM(U15+U24)</f>
        <v>27310.194000000003</v>
      </c>
      <c r="V48" s="71">
        <f>SUM(V15+V24)</f>
        <v>30648.291999999998</v>
      </c>
      <c r="W48" s="71">
        <f>SUM(W15+W24)</f>
        <v>29947.508000000002</v>
      </c>
    </row>
    <row r="49" spans="2:24" x14ac:dyDescent="0.3">
      <c r="B49" s="33" t="s">
        <v>78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116</v>
      </c>
      <c r="M49" s="12" t="s">
        <v>87</v>
      </c>
      <c r="N49" s="12"/>
      <c r="O49" s="13">
        <f>SUM(O35+O6+O44+O45+O46+O47)</f>
        <v>11297.086000000001</v>
      </c>
      <c r="P49" s="13">
        <f t="shared" ref="P49:T49" si="29">SUM(P35+P6+P44+P45+P46+P47)</f>
        <v>12957.522000000001</v>
      </c>
      <c r="Q49" s="13">
        <f t="shared" si="29"/>
        <v>12208.66</v>
      </c>
      <c r="R49" s="13">
        <f t="shared" si="29"/>
        <v>12550.549999999997</v>
      </c>
      <c r="S49" s="13">
        <f t="shared" si="29"/>
        <v>17553.377000000004</v>
      </c>
      <c r="T49" s="13">
        <f t="shared" si="29"/>
        <v>22782.909</v>
      </c>
      <c r="U49" s="71">
        <f>SUM(U35+U6+U44+U45+U46+U47)</f>
        <v>27310.203000000009</v>
      </c>
      <c r="V49" s="71">
        <f>SUM(V35+V6+V44+V45+V46+V47)</f>
        <v>30648.291999999994</v>
      </c>
      <c r="W49" s="71">
        <f>SUM(W35+W6+W44+W45+W46+W47)</f>
        <v>29947.507999999998</v>
      </c>
    </row>
    <row r="50" spans="2:24" x14ac:dyDescent="0.3">
      <c r="B50" s="6" t="s">
        <v>88</v>
      </c>
      <c r="C50" s="42">
        <f t="shared" ref="C50:H50" si="30">94020671*2</f>
        <v>188041342</v>
      </c>
      <c r="D50" s="42">
        <f t="shared" si="30"/>
        <v>188041342</v>
      </c>
      <c r="E50" s="42">
        <f t="shared" si="30"/>
        <v>188041342</v>
      </c>
      <c r="F50" s="42">
        <f t="shared" si="30"/>
        <v>188041342</v>
      </c>
      <c r="G50" s="42">
        <f t="shared" si="30"/>
        <v>188041342</v>
      </c>
      <c r="H50" s="42">
        <f t="shared" si="30"/>
        <v>188041342</v>
      </c>
      <c r="I50" s="72">
        <f>94020671*2</f>
        <v>188041342</v>
      </c>
      <c r="J50" s="72">
        <f>94020671*2</f>
        <v>188041342</v>
      </c>
      <c r="K50" s="89">
        <v>188041342</v>
      </c>
    </row>
    <row r="51" spans="2:24" x14ac:dyDescent="0.3">
      <c r="B51" s="6" t="s">
        <v>89</v>
      </c>
      <c r="C51" s="18">
        <f t="shared" ref="C51:J51" si="31">O53*C50/1000000</f>
        <v>28436.551943950002</v>
      </c>
      <c r="D51" s="18">
        <f t="shared" si="31"/>
        <v>30171.233323899996</v>
      </c>
      <c r="E51" s="18">
        <f t="shared" si="31"/>
        <v>21065.33133755</v>
      </c>
      <c r="F51" s="18">
        <f t="shared" si="31"/>
        <v>12194.481028699998</v>
      </c>
      <c r="G51" s="18">
        <f t="shared" si="31"/>
        <v>38205.299660849996</v>
      </c>
      <c r="H51" s="18">
        <f t="shared" si="31"/>
        <v>86931.512406599999</v>
      </c>
      <c r="I51" s="73">
        <f t="shared" si="31"/>
        <v>69744.5337478</v>
      </c>
      <c r="J51" s="73">
        <f t="shared" si="31"/>
        <v>117140.35399890001</v>
      </c>
      <c r="K51" s="37">
        <v>162825</v>
      </c>
      <c r="M51" s="101" t="s">
        <v>90</v>
      </c>
      <c r="N51" s="101"/>
      <c r="O51" s="101"/>
      <c r="P51" s="101"/>
      <c r="Q51" s="101"/>
      <c r="R51" s="101"/>
      <c r="S51" s="101"/>
      <c r="T51" s="101"/>
      <c r="U51" s="101"/>
      <c r="V51" s="101"/>
      <c r="W51" s="101"/>
    </row>
    <row r="52" spans="2:24" x14ac:dyDescent="0.3">
      <c r="B52" s="6" t="s">
        <v>91</v>
      </c>
      <c r="C52" s="43">
        <f t="shared" ref="C52:K52" si="32">O10</f>
        <v>0</v>
      </c>
      <c r="D52" s="43">
        <f t="shared" si="32"/>
        <v>0</v>
      </c>
      <c r="E52" s="43">
        <f t="shared" si="32"/>
        <v>0</v>
      </c>
      <c r="F52" s="43">
        <f t="shared" si="32"/>
        <v>0</v>
      </c>
      <c r="G52" s="43">
        <f t="shared" si="32"/>
        <v>0</v>
      </c>
      <c r="H52" s="43">
        <f t="shared" si="32"/>
        <v>0</v>
      </c>
      <c r="I52" s="74">
        <f t="shared" si="32"/>
        <v>0</v>
      </c>
      <c r="J52" s="74">
        <f t="shared" si="32"/>
        <v>0</v>
      </c>
      <c r="K52" s="74">
        <f t="shared" si="32"/>
        <v>0</v>
      </c>
      <c r="M52" s="36"/>
      <c r="N52" s="36"/>
      <c r="O52" s="4" t="s">
        <v>3</v>
      </c>
      <c r="P52" s="4" t="s">
        <v>4</v>
      </c>
      <c r="Q52" s="4" t="s">
        <v>5</v>
      </c>
      <c r="R52" s="4" t="s">
        <v>6</v>
      </c>
      <c r="S52" s="4" t="s">
        <v>7</v>
      </c>
      <c r="T52" s="4" t="s">
        <v>8</v>
      </c>
      <c r="U52" s="4" t="s">
        <v>9</v>
      </c>
      <c r="V52" s="4" t="s">
        <v>10</v>
      </c>
      <c r="W52" s="91" t="s">
        <v>117</v>
      </c>
    </row>
    <row r="53" spans="2:24" x14ac:dyDescent="0.3">
      <c r="B53" s="6" t="s">
        <v>92</v>
      </c>
      <c r="C53" s="21">
        <f t="shared" ref="C53:H54" si="33">O29</f>
        <v>932.61300000000006</v>
      </c>
      <c r="D53" s="21">
        <f t="shared" si="33"/>
        <v>1232.694</v>
      </c>
      <c r="E53" s="21">
        <f t="shared" si="33"/>
        <v>330.09899999999999</v>
      </c>
      <c r="F53" s="21">
        <f t="shared" si="33"/>
        <v>1709.0440000000001</v>
      </c>
      <c r="G53" s="21">
        <f t="shared" si="33"/>
        <v>660.77099999999996</v>
      </c>
      <c r="H53" s="21">
        <f t="shared" si="33"/>
        <v>2175.38</v>
      </c>
      <c r="I53" s="75">
        <f t="shared" ref="I53:K54" si="34">U29</f>
        <v>818.14499999999998</v>
      </c>
      <c r="J53" s="75">
        <f t="shared" si="34"/>
        <v>2159.145</v>
      </c>
      <c r="K53" s="90">
        <f t="shared" si="34"/>
        <v>2554.2139999999999</v>
      </c>
      <c r="M53" s="36" t="s">
        <v>93</v>
      </c>
      <c r="N53" s="36"/>
      <c r="O53" s="44">
        <f>302.45/2</f>
        <v>151.22499999999999</v>
      </c>
      <c r="P53" s="44">
        <f>320.9/2</f>
        <v>160.44999999999999</v>
      </c>
      <c r="Q53" s="44">
        <f>224.05/2</f>
        <v>112.02500000000001</v>
      </c>
      <c r="R53" s="44">
        <f>129.7/2</f>
        <v>64.849999999999994</v>
      </c>
      <c r="S53" s="44">
        <f>406.35/2</f>
        <v>203.17500000000001</v>
      </c>
      <c r="T53" s="6">
        <f>924.6/2</f>
        <v>462.3</v>
      </c>
      <c r="U53" s="61">
        <v>370.9</v>
      </c>
      <c r="V53" s="61">
        <v>622.95000000000005</v>
      </c>
      <c r="W53" s="92">
        <v>865.9</v>
      </c>
    </row>
    <row r="54" spans="2:24" x14ac:dyDescent="0.3">
      <c r="B54" s="6" t="s">
        <v>94</v>
      </c>
      <c r="C54" s="21">
        <f t="shared" si="33"/>
        <v>45.256999999999998</v>
      </c>
      <c r="D54" s="21">
        <f t="shared" si="33"/>
        <v>51.197000000000003</v>
      </c>
      <c r="E54" s="21">
        <f t="shared" si="33"/>
        <v>52.9</v>
      </c>
      <c r="F54" s="21">
        <f t="shared" si="33"/>
        <v>49.481000000000002</v>
      </c>
      <c r="G54" s="21">
        <f t="shared" si="33"/>
        <v>406.72399999999999</v>
      </c>
      <c r="H54" s="21">
        <f t="shared" si="33"/>
        <v>2299.1</v>
      </c>
      <c r="I54" s="75">
        <f t="shared" si="34"/>
        <v>2677.027</v>
      </c>
      <c r="J54" s="75">
        <f t="shared" si="34"/>
        <v>3044.547</v>
      </c>
      <c r="K54" s="90">
        <f t="shared" si="34"/>
        <v>3371.181</v>
      </c>
      <c r="M54" s="36" t="s">
        <v>95</v>
      </c>
      <c r="N54" s="36"/>
      <c r="O54" s="44">
        <f t="shared" ref="O54:V54" si="35">C32</f>
        <v>18.59</v>
      </c>
      <c r="P54" s="44">
        <f t="shared" si="35"/>
        <v>12.03</v>
      </c>
      <c r="Q54" s="44">
        <f t="shared" si="35"/>
        <v>5.0999999999999996</v>
      </c>
      <c r="R54" s="44">
        <f t="shared" si="35"/>
        <v>10.64</v>
      </c>
      <c r="S54" s="44">
        <f t="shared" si="35"/>
        <v>50.63</v>
      </c>
      <c r="T54" s="44">
        <f t="shared" si="35"/>
        <v>35.270000000000003</v>
      </c>
      <c r="U54" s="24">
        <f t="shared" si="35"/>
        <v>26.49</v>
      </c>
      <c r="V54" s="24">
        <f t="shared" si="35"/>
        <v>18.43</v>
      </c>
      <c r="W54" s="93">
        <f>V54+K32-7.83</f>
        <v>25.68</v>
      </c>
      <c r="X54" t="s">
        <v>118</v>
      </c>
    </row>
    <row r="55" spans="2:24" x14ac:dyDescent="0.3">
      <c r="B55" s="12" t="s">
        <v>96</v>
      </c>
      <c r="C55" s="45">
        <f t="shared" ref="C55:H55" si="36">C51+C52-C53-C54</f>
        <v>27458.68194395</v>
      </c>
      <c r="D55" s="45">
        <f t="shared" si="36"/>
        <v>28887.342323899997</v>
      </c>
      <c r="E55" s="45">
        <f t="shared" si="36"/>
        <v>20682.33233755</v>
      </c>
      <c r="F55" s="45">
        <f t="shared" si="36"/>
        <v>10435.956028699999</v>
      </c>
      <c r="G55" s="45">
        <f t="shared" si="36"/>
        <v>37137.804660849994</v>
      </c>
      <c r="H55" s="45">
        <f t="shared" si="36"/>
        <v>82457.032406599988</v>
      </c>
      <c r="I55" s="45">
        <f>I51+I52-I53-I54</f>
        <v>66249.361747799994</v>
      </c>
      <c r="J55" s="86">
        <f>J51+J52-J53-J54</f>
        <v>111936.6619989</v>
      </c>
      <c r="K55" s="86">
        <f>K51+K52-K53-K54</f>
        <v>156899.60499999998</v>
      </c>
      <c r="L55" s="86"/>
      <c r="M55" s="36" t="s">
        <v>97</v>
      </c>
      <c r="N55" s="36"/>
      <c r="O55" s="46">
        <f t="shared" ref="O55:U55" si="37">O6*1000000/C50</f>
        <v>30.955974564359369</v>
      </c>
      <c r="P55" s="46">
        <f t="shared" si="37"/>
        <v>34.332386332363015</v>
      </c>
      <c r="Q55" s="46">
        <f t="shared" si="37"/>
        <v>34.164237138873432</v>
      </c>
      <c r="R55" s="46">
        <f t="shared" si="37"/>
        <v>35.804738087861551</v>
      </c>
      <c r="S55" s="46">
        <f t="shared" si="37"/>
        <v>56.628228062741648</v>
      </c>
      <c r="T55" s="46">
        <f t="shared" si="37"/>
        <v>80.600998901613877</v>
      </c>
      <c r="U55" s="64">
        <f t="shared" si="37"/>
        <v>98.056415700330433</v>
      </c>
      <c r="V55" s="64">
        <f>V6*1000000/J50</f>
        <v>107.37599394499108</v>
      </c>
      <c r="W55" s="64">
        <f>W6*1000000/K50</f>
        <v>111.66931046471684</v>
      </c>
    </row>
    <row r="56" spans="2:24" x14ac:dyDescent="0.3">
      <c r="I56" s="47"/>
      <c r="J56" s="47"/>
      <c r="K56" s="47"/>
      <c r="M56" s="36" t="s">
        <v>98</v>
      </c>
      <c r="N56" s="6"/>
      <c r="O56" s="21">
        <v>4.5</v>
      </c>
      <c r="P56" s="21">
        <v>4.5</v>
      </c>
      <c r="Q56" s="21">
        <v>3</v>
      </c>
      <c r="R56" s="21">
        <v>5.5</v>
      </c>
      <c r="S56" s="21">
        <v>15</v>
      </c>
      <c r="T56" s="21">
        <v>18</v>
      </c>
      <c r="U56" s="62">
        <v>11</v>
      </c>
      <c r="V56" s="63">
        <v>9</v>
      </c>
      <c r="W56" s="63">
        <v>9</v>
      </c>
    </row>
    <row r="57" spans="2:24" x14ac:dyDescent="0.3">
      <c r="I57" s="48"/>
      <c r="J57" s="48"/>
      <c r="K57" s="48"/>
      <c r="M57" s="36" t="s">
        <v>99</v>
      </c>
      <c r="N57" s="36"/>
      <c r="O57" s="49">
        <f t="shared" ref="O57:T57" si="38">O53/O54</f>
        <v>8.1347498655190957</v>
      </c>
      <c r="P57" s="49">
        <f t="shared" si="38"/>
        <v>13.337489609310058</v>
      </c>
      <c r="Q57" s="49">
        <f t="shared" si="38"/>
        <v>21.965686274509807</v>
      </c>
      <c r="R57" s="49">
        <f t="shared" si="38"/>
        <v>6.0949248120300741</v>
      </c>
      <c r="S57" s="49">
        <f t="shared" si="38"/>
        <v>4.0129369938771475</v>
      </c>
      <c r="T57" s="49">
        <f t="shared" si="38"/>
        <v>13.107456762120782</v>
      </c>
      <c r="U57" s="65">
        <f>U53/U54</f>
        <v>14.00151000377501</v>
      </c>
      <c r="V57" s="65">
        <f>V53/V54</f>
        <v>33.800868149755836</v>
      </c>
      <c r="W57" s="65">
        <f>W53/W54</f>
        <v>33.718847352024923</v>
      </c>
    </row>
    <row r="58" spans="2:24" x14ac:dyDescent="0.3">
      <c r="I58" s="48"/>
      <c r="J58" s="48">
        <f>K50*865.9</f>
        <v>162824998037.79999</v>
      </c>
      <c r="K58" s="74"/>
      <c r="M58" s="36" t="s">
        <v>100</v>
      </c>
      <c r="N58" s="36"/>
      <c r="O58" s="50">
        <f t="shared" ref="O58:T58" si="39">O53/O55</f>
        <v>4.8851635953374348</v>
      </c>
      <c r="P58" s="50">
        <f t="shared" si="39"/>
        <v>4.6734298759988526</v>
      </c>
      <c r="Q58" s="50">
        <f t="shared" si="39"/>
        <v>3.2790136523356903</v>
      </c>
      <c r="R58" s="50">
        <f t="shared" si="39"/>
        <v>1.8112128020840155</v>
      </c>
      <c r="S58" s="50">
        <f t="shared" si="39"/>
        <v>3.5878749335912619</v>
      </c>
      <c r="T58" s="50">
        <f t="shared" si="39"/>
        <v>5.7356609260427334</v>
      </c>
      <c r="U58" s="66">
        <f>U53/U55</f>
        <v>3.7825163947813984</v>
      </c>
      <c r="V58" s="66">
        <f>V53/V55</f>
        <v>5.8015760982770361</v>
      </c>
      <c r="W58" s="66">
        <f>W53/W55</f>
        <v>7.7541447726015171</v>
      </c>
    </row>
    <row r="59" spans="2:24" x14ac:dyDescent="0.3">
      <c r="I59" s="51"/>
      <c r="J59" s="51">
        <f>J58/10^6</f>
        <v>162824.99803779999</v>
      </c>
      <c r="K59" s="51"/>
      <c r="M59" s="36" t="s">
        <v>101</v>
      </c>
      <c r="N59" s="36"/>
      <c r="O59" s="49">
        <f t="shared" ref="O59:V59" si="40">C55/C14</f>
        <v>9.236732725353793</v>
      </c>
      <c r="P59" s="49">
        <f t="shared" si="40"/>
        <v>14.719289864665845</v>
      </c>
      <c r="Q59" s="49">
        <f t="shared" si="40"/>
        <v>22.154498781586437</v>
      </c>
      <c r="R59" s="49">
        <f t="shared" si="40"/>
        <v>7.0278164441227107</v>
      </c>
      <c r="S59" s="49">
        <f t="shared" si="40"/>
        <v>5.5518471613270197</v>
      </c>
      <c r="T59" s="49">
        <f t="shared" si="40"/>
        <v>9.1219363811756917</v>
      </c>
      <c r="U59" s="49">
        <f t="shared" si="40"/>
        <v>10.079129420737349</v>
      </c>
      <c r="V59" s="49">
        <f t="shared" si="40"/>
        <v>23.980444450302517</v>
      </c>
      <c r="W59" s="65" t="s">
        <v>102</v>
      </c>
    </row>
    <row r="60" spans="2:24" x14ac:dyDescent="0.3">
      <c r="M60" s="36" t="s">
        <v>103</v>
      </c>
      <c r="N60" s="36"/>
      <c r="O60" s="52">
        <f t="shared" ref="O60:W60" si="41">C23/O6</f>
        <v>0.30821664238963625</v>
      </c>
      <c r="P60" s="52">
        <f t="shared" si="41"/>
        <v>0.17985076615094317</v>
      </c>
      <c r="Q60" s="52">
        <f t="shared" si="41"/>
        <v>7.6590576793789819E-2</v>
      </c>
      <c r="R60" s="52">
        <f t="shared" si="41"/>
        <v>0.15246619853846166</v>
      </c>
      <c r="S60" s="52">
        <f t="shared" si="41"/>
        <v>0.44842309414479931</v>
      </c>
      <c r="T60" s="52">
        <f t="shared" si="41"/>
        <v>0.43761684894486297</v>
      </c>
      <c r="U60" s="52">
        <f t="shared" si="41"/>
        <v>0.26970528227105411</v>
      </c>
      <c r="V60" s="52">
        <f t="shared" si="41"/>
        <v>0.17160429784847062</v>
      </c>
      <c r="W60" s="52">
        <f t="shared" si="41"/>
        <v>0.13507541772017703</v>
      </c>
    </row>
    <row r="61" spans="2:24" x14ac:dyDescent="0.3">
      <c r="M61" s="36" t="s">
        <v>104</v>
      </c>
      <c r="N61" s="36"/>
      <c r="O61" s="52">
        <f t="shared" ref="O61:V61" si="42">(C21+C19)/O11</f>
        <v>0.44477067431988104</v>
      </c>
      <c r="P61" s="52">
        <f t="shared" si="42"/>
        <v>0.26244549396520839</v>
      </c>
      <c r="Q61" s="52">
        <f t="shared" si="42"/>
        <v>0.11427239571535952</v>
      </c>
      <c r="R61" s="52">
        <f t="shared" si="42"/>
        <v>0.16942842934018823</v>
      </c>
      <c r="S61" s="52">
        <f t="shared" si="42"/>
        <v>0.57426264113078918</v>
      </c>
      <c r="T61" s="52">
        <f t="shared" si="42"/>
        <v>0.56728309729906445</v>
      </c>
      <c r="U61" s="52">
        <f t="shared" si="42"/>
        <v>0.35451596081203035</v>
      </c>
      <c r="V61" s="52">
        <f t="shared" si="42"/>
        <v>0.21948940050884796</v>
      </c>
      <c r="W61" s="94" t="s">
        <v>102</v>
      </c>
    </row>
    <row r="62" spans="2:24" x14ac:dyDescent="0.3">
      <c r="E62" t="s">
        <v>105</v>
      </c>
      <c r="M62" s="36" t="s">
        <v>106</v>
      </c>
      <c r="N62" s="36"/>
      <c r="O62" s="53">
        <f t="shared" ref="O62:T62" si="43">O10/O6</f>
        <v>0</v>
      </c>
      <c r="P62" s="53">
        <f t="shared" si="43"/>
        <v>0</v>
      </c>
      <c r="Q62" s="53">
        <f t="shared" si="43"/>
        <v>0</v>
      </c>
      <c r="R62" s="53">
        <f t="shared" si="43"/>
        <v>0</v>
      </c>
      <c r="S62" s="53">
        <f t="shared" si="43"/>
        <v>0</v>
      </c>
      <c r="T62" s="53">
        <f t="shared" si="43"/>
        <v>0</v>
      </c>
      <c r="U62" s="53">
        <f>U10/U6</f>
        <v>0</v>
      </c>
      <c r="V62" s="53">
        <f>V10/V6</f>
        <v>0</v>
      </c>
      <c r="W62" s="53">
        <f>W10/W6</f>
        <v>0</v>
      </c>
    </row>
    <row r="63" spans="2:24" x14ac:dyDescent="0.3">
      <c r="M63" s="36" t="s">
        <v>107</v>
      </c>
      <c r="N63" s="36"/>
      <c r="O63" s="53">
        <f>(O10-SUM(O27,O29:O30))/O6</f>
        <v>-0.16798994949839399</v>
      </c>
      <c r="P63" s="53">
        <f t="shared" ref="P63:T63" si="44">(P10-SUM(P27,P29:P30))/P6</f>
        <v>-0.37019068425386492</v>
      </c>
      <c r="Q63" s="53">
        <f t="shared" si="44"/>
        <v>-0.4500046619945024</v>
      </c>
      <c r="R63" s="53">
        <f t="shared" si="44"/>
        <v>-0.4614223475000116</v>
      </c>
      <c r="S63" s="53">
        <f t="shared" si="44"/>
        <v>-0.54189361679749015</v>
      </c>
      <c r="T63" s="53">
        <f t="shared" si="44"/>
        <v>-0.61442091483948613</v>
      </c>
      <c r="U63" s="53">
        <f>(U10-SUM(U27,U29:U30))/U6</f>
        <v>-0.49464977389897086</v>
      </c>
      <c r="V63" s="53">
        <f>(V10-SUM(V27,V29:V30))/V6</f>
        <v>-0.54091336956641256</v>
      </c>
      <c r="W63" s="53">
        <f>(W10-SUM(W27,W29:W30))/W6</f>
        <v>-0.43205961850416841</v>
      </c>
    </row>
    <row r="64" spans="2:24" x14ac:dyDescent="0.3">
      <c r="M64" s="36" t="s">
        <v>108</v>
      </c>
      <c r="N64" s="6"/>
      <c r="O64" s="27">
        <f>O56/O53</f>
        <v>2.9756984625557946E-2</v>
      </c>
      <c r="P64" s="27">
        <f t="shared" ref="P64:T64" si="45">P56/P53</f>
        <v>2.8046120286693677E-2</v>
      </c>
      <c r="Q64" s="27">
        <f t="shared" si="45"/>
        <v>2.6779736665922784E-2</v>
      </c>
      <c r="R64" s="27">
        <f t="shared" si="45"/>
        <v>8.4811102544333078E-2</v>
      </c>
      <c r="S64" s="27">
        <f t="shared" si="45"/>
        <v>7.3827980804724982E-2</v>
      </c>
      <c r="T64" s="27">
        <f t="shared" si="45"/>
        <v>3.8935756002595717E-2</v>
      </c>
      <c r="U64" s="27">
        <f>U56/U53</f>
        <v>2.9657589646805069E-2</v>
      </c>
      <c r="V64" s="27">
        <f>V56/V53</f>
        <v>1.4447387430772934E-2</v>
      </c>
      <c r="W64" s="27">
        <f>W56/W53</f>
        <v>1.0393809908765447E-2</v>
      </c>
    </row>
    <row r="65" spans="3:23" x14ac:dyDescent="0.3">
      <c r="M65" s="36" t="s">
        <v>109</v>
      </c>
      <c r="N65" s="36"/>
      <c r="O65" s="54">
        <f t="shared" ref="O65:U65" si="46">AVERAGE(N28:O28/C4)*365</f>
        <v>34.883889298780552</v>
      </c>
      <c r="P65" s="54">
        <f t="shared" si="46"/>
        <v>34.718912506322269</v>
      </c>
      <c r="Q65" s="54">
        <f t="shared" si="46"/>
        <v>32.535303803674992</v>
      </c>
      <c r="R65" s="54">
        <f t="shared" si="46"/>
        <v>33.238702099113695</v>
      </c>
      <c r="S65" s="54">
        <f t="shared" si="46"/>
        <v>43.927744247406416</v>
      </c>
      <c r="T65" s="54">
        <f t="shared" si="46"/>
        <v>29.867309490462073</v>
      </c>
      <c r="U65" s="54">
        <f t="shared" si="46"/>
        <v>25.010630759198712</v>
      </c>
      <c r="V65" s="54">
        <f>AVERAGE(U28:V28/J4)*365</f>
        <v>27.442432676415986</v>
      </c>
      <c r="W65" s="95" t="s">
        <v>102</v>
      </c>
    </row>
    <row r="66" spans="3:23" x14ac:dyDescent="0.3">
      <c r="M66" s="6" t="s">
        <v>110</v>
      </c>
      <c r="N66" s="6"/>
      <c r="O66" s="54">
        <f t="shared" ref="O66:U66" si="47">(AVERAGE(N37:O37)/C7)*365</f>
        <v>52.80295904104802</v>
      </c>
      <c r="P66" s="54">
        <f t="shared" si="47"/>
        <v>63.040331533037246</v>
      </c>
      <c r="Q66" s="54">
        <f t="shared" si="47"/>
        <v>61.613891978941119</v>
      </c>
      <c r="R66" s="54">
        <f t="shared" si="47"/>
        <v>67.330394739396283</v>
      </c>
      <c r="S66" s="54">
        <f t="shared" si="47"/>
        <v>75.771176892552191</v>
      </c>
      <c r="T66" s="54">
        <f t="shared" si="47"/>
        <v>48.382891740108363</v>
      </c>
      <c r="U66" s="54">
        <f t="shared" si="47"/>
        <v>51.556530002879967</v>
      </c>
      <c r="V66" s="54">
        <f>(AVERAGE(U37:V37)/J7)*365</f>
        <v>60.65851585074104</v>
      </c>
      <c r="W66" s="95" t="s">
        <v>102</v>
      </c>
    </row>
    <row r="67" spans="3:23" x14ac:dyDescent="0.3">
      <c r="M67" s="6" t="s">
        <v>111</v>
      </c>
      <c r="N67" s="6"/>
      <c r="O67" s="54">
        <f t="shared" ref="O67:U67" si="48">(AVERAGE(N25:O25)/C7)*365</f>
        <v>30.466562579221794</v>
      </c>
      <c r="P67" s="54">
        <f t="shared" si="48"/>
        <v>38.83129643672055</v>
      </c>
      <c r="Q67" s="54">
        <f t="shared" si="48"/>
        <v>32.839906274925802</v>
      </c>
      <c r="R67" s="54">
        <f t="shared" si="48"/>
        <v>35.673157915170329</v>
      </c>
      <c r="S67" s="54">
        <f t="shared" si="48"/>
        <v>41.793790648366908</v>
      </c>
      <c r="T67" s="54">
        <f t="shared" si="48"/>
        <v>27.344490458474208</v>
      </c>
      <c r="U67" s="54">
        <f t="shared" si="48"/>
        <v>37.355517886494695</v>
      </c>
      <c r="V67" s="54">
        <f>(AVERAGE(U25:V25)/J7)*365</f>
        <v>42.990166145774332</v>
      </c>
      <c r="W67" s="95" t="s">
        <v>102</v>
      </c>
    </row>
    <row r="68" spans="3:23" x14ac:dyDescent="0.3">
      <c r="M68" s="6" t="s">
        <v>112</v>
      </c>
      <c r="N68" s="6"/>
      <c r="O68" s="54">
        <f>O65+O67-O66</f>
        <v>12.547492836954326</v>
      </c>
      <c r="P68" s="54">
        <f>P65+P67-P66</f>
        <v>10.509877410005572</v>
      </c>
      <c r="Q68" s="54">
        <f t="shared" ref="Q68:T68" si="49">Q65+Q67-Q66</f>
        <v>3.7613180996596682</v>
      </c>
      <c r="R68" s="54">
        <f t="shared" si="49"/>
        <v>1.5814652748877478</v>
      </c>
      <c r="S68" s="54">
        <f t="shared" si="49"/>
        <v>9.9503580032211261</v>
      </c>
      <c r="T68" s="54">
        <f t="shared" si="49"/>
        <v>8.8289082088279187</v>
      </c>
      <c r="U68" s="54">
        <f>U65+U67-U66</f>
        <v>10.80961864281344</v>
      </c>
      <c r="V68" s="54">
        <f>V65+V67-V66</f>
        <v>9.7740829714492747</v>
      </c>
      <c r="W68" s="95" t="s">
        <v>102</v>
      </c>
    </row>
    <row r="69" spans="3:23" x14ac:dyDescent="0.3">
      <c r="M69" s="36" t="s">
        <v>113</v>
      </c>
      <c r="N69" s="36"/>
      <c r="O69" s="55">
        <f t="shared" ref="O69:U69" si="50">C4/(AVERAGE(N16:O16))</f>
        <v>9.6483492451898822</v>
      </c>
      <c r="P69" s="55">
        <f t="shared" si="50"/>
        <v>9.2990295979660296</v>
      </c>
      <c r="Q69" s="55">
        <f t="shared" si="50"/>
        <v>9.6443381442701259</v>
      </c>
      <c r="R69" s="55">
        <f t="shared" si="50"/>
        <v>8.1114606208967146</v>
      </c>
      <c r="S69" s="55">
        <f t="shared" si="50"/>
        <v>9.6436536907236849</v>
      </c>
      <c r="T69" s="55">
        <f t="shared" si="50"/>
        <v>16.208301111356253</v>
      </c>
      <c r="U69" s="55">
        <f t="shared" si="50"/>
        <v>12.998384545526511</v>
      </c>
      <c r="V69" s="55">
        <f>J4/(AVERAGE(U16:V16))</f>
        <v>8.9879291120840783</v>
      </c>
      <c r="W69" s="95" t="s">
        <v>102</v>
      </c>
    </row>
    <row r="70" spans="3:23" x14ac:dyDescent="0.3">
      <c r="M70" s="36" t="s">
        <v>114</v>
      </c>
      <c r="N70" s="36"/>
      <c r="O70" s="56" t="s">
        <v>102</v>
      </c>
      <c r="P70" s="56" t="s">
        <v>102</v>
      </c>
      <c r="Q70" s="56" t="s">
        <v>102</v>
      </c>
      <c r="R70" s="56" t="s">
        <v>102</v>
      </c>
      <c r="S70" s="56" t="s">
        <v>102</v>
      </c>
      <c r="T70" s="56" t="s">
        <v>102</v>
      </c>
      <c r="U70" s="67" t="s">
        <v>102</v>
      </c>
      <c r="V70" s="67" t="s">
        <v>102</v>
      </c>
      <c r="W70" s="95" t="s">
        <v>102</v>
      </c>
    </row>
    <row r="71" spans="3:23" ht="14.4" hidden="1" customHeight="1" x14ac:dyDescent="0.3">
      <c r="C71" s="57">
        <f t="shared" ref="C71:H71" si="51">O24-O35</f>
        <v>2770.2700000000004</v>
      </c>
      <c r="D71" s="57">
        <f t="shared" si="51"/>
        <v>3422.4979999999987</v>
      </c>
      <c r="E71" s="57">
        <f t="shared" si="51"/>
        <v>3327.1790000000001</v>
      </c>
      <c r="F71" s="57">
        <f t="shared" si="51"/>
        <v>3463.9049999999997</v>
      </c>
      <c r="G71" s="57">
        <f t="shared" si="51"/>
        <v>7434.5719999999992</v>
      </c>
      <c r="H71" s="57">
        <f t="shared" si="51"/>
        <v>10401.149999999998</v>
      </c>
      <c r="I71" s="57"/>
      <c r="J71" s="57"/>
      <c r="K71" s="57"/>
      <c r="M71" s="58" t="s">
        <v>115</v>
      </c>
      <c r="N71" s="58"/>
      <c r="O71" s="59">
        <f t="shared" ref="O71:T71" si="52">(AVERAGE(N43:O43)/C4)*365</f>
        <v>31.438282907331011</v>
      </c>
      <c r="P71" s="59">
        <f t="shared" si="52"/>
        <v>36.409153026149198</v>
      </c>
      <c r="Q71" s="59">
        <f t="shared" si="52"/>
        <v>38.568906580424731</v>
      </c>
      <c r="R71" s="59">
        <f t="shared" si="52"/>
        <v>45.494176551668446</v>
      </c>
      <c r="S71" s="59">
        <f t="shared" si="52"/>
        <v>62.444729907835431</v>
      </c>
      <c r="T71" s="59">
        <f t="shared" si="52"/>
        <v>64.682579818526577</v>
      </c>
    </row>
  </sheetData>
  <mergeCells count="3">
    <mergeCell ref="M2:V2"/>
    <mergeCell ref="B2:K2"/>
    <mergeCell ref="M51:W51"/>
  </mergeCells>
  <phoneticPr fontId="7" type="noConversion"/>
  <pageMargins left="0.7" right="0.7" top="0.75" bottom="0.75" header="0.3" footer="0.3"/>
  <pageSetup orientation="portrait" r:id="rId1"/>
  <ignoredErrors>
    <ignoredError sqref="O64:V64 O69:U69 O65:U65 O66:U66 O67:U67 O68:U68 O63:U63" formulaRange="1"/>
    <ignoredError sqref="H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2024-05-14T11:12:31Z</dcterms:created>
  <dcterms:modified xsi:type="dcterms:W3CDTF">2025-03-27T06:37:30Z</dcterms:modified>
</cp:coreProperties>
</file>